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X:\Int\DATEN-ZUR-UMWELT\_DzU-ARTIKEL\08_RESSOURCEN-ABFALL\8-7_Verwert-Entsorg\8-7-7_Altbatterien\"/>
    </mc:Choice>
  </mc:AlternateContent>
  <xr:revisionPtr revIDLastSave="0" documentId="13_ncr:1_{D14B064D-F6A7-4FBC-9CB2-37C4E2504B4B}" xr6:coauthVersionLast="36" xr6:coauthVersionMax="36" xr10:uidLastSave="{00000000-0000-0000-0000-000000000000}"/>
  <bookViews>
    <workbookView xWindow="960" yWindow="0" windowWidth="28800" windowHeight="14025" tabRatio="802" firstSheet="1" activeTab="2" xr2:uid="{00000000-000D-0000-FFFF-FFFF00000000}"/>
  </bookViews>
  <sheets>
    <sheet name="Vorberechn-Verkehr-2011" sheetId="19" state="hidden" r:id="rId1"/>
    <sheet name="Daten" sheetId="1" r:id="rId2"/>
    <sheet name="Diagramm" sheetId="17" r:id="rId3"/>
  </sheets>
  <externalReferences>
    <externalReference r:id="rId4"/>
  </externalReference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Diagramm!$B$1:$N$30</definedName>
  </definedNames>
  <calcPr calcId="191029"/>
</workbook>
</file>

<file path=xl/calcChain.xml><?xml version="1.0" encoding="utf-8"?>
<calcChain xmlns="http://schemas.openxmlformats.org/spreadsheetml/2006/main">
  <c r="E71" i="19" l="1"/>
  <c r="E70" i="19"/>
  <c r="E69" i="19"/>
  <c r="E68" i="19"/>
  <c r="D88" i="19" s="1"/>
  <c r="E67" i="19"/>
  <c r="E66" i="19"/>
  <c r="D86" i="19" s="1"/>
  <c r="E65" i="19"/>
  <c r="E62" i="19"/>
  <c r="E61" i="19"/>
  <c r="E60" i="19"/>
  <c r="E59" i="19"/>
  <c r="E58" i="19"/>
  <c r="E57" i="19"/>
  <c r="D84" i="19" s="1"/>
  <c r="E56" i="19"/>
  <c r="E55" i="19"/>
  <c r="D82" i="19"/>
  <c r="E54" i="19"/>
  <c r="D83" i="19" s="1"/>
  <c r="F49" i="19"/>
  <c r="E49" i="19"/>
  <c r="C49" i="19"/>
  <c r="F48" i="19"/>
  <c r="E48" i="19"/>
  <c r="E81" i="19"/>
  <c r="C48" i="19"/>
  <c r="F47" i="19"/>
  <c r="E47" i="19"/>
  <c r="D47" i="19"/>
  <c r="F46" i="19"/>
  <c r="E46" i="19"/>
  <c r="D46" i="19"/>
  <c r="F45" i="19"/>
  <c r="E45" i="19"/>
  <c r="E86" i="19" s="1"/>
  <c r="D45" i="19"/>
  <c r="F44" i="19"/>
  <c r="E44" i="19"/>
  <c r="D44" i="19"/>
  <c r="C44" i="19"/>
  <c r="F43" i="19"/>
  <c r="E43" i="19"/>
  <c r="E88" i="19"/>
  <c r="D43" i="19"/>
  <c r="F42" i="19"/>
  <c r="E42" i="19"/>
  <c r="D42" i="19"/>
  <c r="Q41" i="19"/>
  <c r="R41" i="19" s="1"/>
  <c r="S41" i="19" s="1"/>
  <c r="T41" i="19" s="1"/>
  <c r="U41" i="19" s="1"/>
  <c r="V41" i="19" s="1"/>
  <c r="W41" i="19" s="1"/>
  <c r="X41" i="19" s="1"/>
  <c r="Y41" i="19" s="1"/>
  <c r="Z41" i="19" s="1"/>
  <c r="F41" i="19"/>
  <c r="E41" i="19"/>
  <c r="D41" i="19"/>
  <c r="F40" i="19"/>
  <c r="E40" i="19"/>
  <c r="E85" i="19"/>
  <c r="D40" i="19"/>
  <c r="F39" i="19"/>
  <c r="E39" i="19"/>
  <c r="D39" i="19"/>
  <c r="C39" i="19"/>
  <c r="B39" i="19"/>
  <c r="F38" i="19"/>
  <c r="E38" i="19"/>
  <c r="E80" i="19" s="1"/>
  <c r="C38" i="19"/>
  <c r="F37" i="19"/>
  <c r="E37" i="19"/>
  <c r="D37" i="19"/>
  <c r="N36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C33" i="19"/>
  <c r="F32" i="19"/>
  <c r="E32" i="19"/>
  <c r="D32" i="19"/>
  <c r="F31" i="19"/>
  <c r="C117" i="19" s="1"/>
  <c r="E31" i="19"/>
  <c r="D31" i="19"/>
  <c r="M30" i="19"/>
  <c r="F30" i="19"/>
  <c r="E30" i="19"/>
  <c r="E82" i="19"/>
  <c r="D30" i="19"/>
  <c r="F29" i="19"/>
  <c r="E29" i="19"/>
  <c r="E83" i="19"/>
  <c r="D29" i="19"/>
  <c r="C29" i="19"/>
  <c r="B29" i="19"/>
  <c r="F28" i="19"/>
  <c r="E28" i="19"/>
  <c r="E27" i="19"/>
  <c r="D27" i="19"/>
  <c r="C27" i="19"/>
  <c r="B27" i="19"/>
  <c r="E21" i="19"/>
  <c r="E20" i="19"/>
  <c r="M19" i="19"/>
  <c r="E19" i="19"/>
  <c r="M18" i="19"/>
  <c r="M25" i="19" s="1"/>
  <c r="M27" i="19" s="1"/>
  <c r="E18" i="19"/>
  <c r="F88" i="19"/>
  <c r="E17" i="19"/>
  <c r="F87" i="19" s="1"/>
  <c r="E16" i="19"/>
  <c r="M15" i="19"/>
  <c r="E15" i="19"/>
  <c r="E14" i="19"/>
  <c r="E12" i="19"/>
  <c r="E11" i="19"/>
  <c r="E10" i="19"/>
  <c r="E9" i="19"/>
  <c r="E8" i="19"/>
  <c r="E7" i="19"/>
  <c r="E6" i="19"/>
  <c r="E5" i="19"/>
  <c r="F82" i="19" s="1"/>
  <c r="G82" i="19" s="1"/>
  <c r="E4" i="19"/>
  <c r="F83" i="19"/>
  <c r="X3" i="1"/>
  <c r="E84" i="19"/>
  <c r="G83" i="19"/>
  <c r="D87" i="19"/>
  <c r="E87" i="19" l="1"/>
  <c r="G87" i="19" s="1"/>
  <c r="D85" i="19"/>
  <c r="E73" i="19"/>
  <c r="D81" i="19" s="1"/>
  <c r="E23" i="19"/>
  <c r="F81" i="19" s="1"/>
  <c r="G81" i="19" s="1"/>
  <c r="G88" i="19"/>
  <c r="E63" i="19"/>
  <c r="E13" i="19"/>
  <c r="F85" i="19"/>
  <c r="G85" i="19" s="1"/>
  <c r="F84" i="19"/>
  <c r="G84" i="19" s="1"/>
  <c r="F86" i="19"/>
  <c r="H87" i="19" l="1"/>
  <c r="H86" i="19"/>
  <c r="G86" i="19"/>
  <c r="D80" i="19"/>
  <c r="E74" i="19"/>
  <c r="E24" i="19"/>
  <c r="F80" i="19"/>
  <c r="G80" i="19" s="1"/>
  <c r="F22" i="19" l="1"/>
  <c r="F19" i="19"/>
  <c r="F6" i="19"/>
  <c r="F4" i="19"/>
  <c r="F20" i="19"/>
  <c r="F8" i="19"/>
  <c r="F12" i="19"/>
  <c r="F10" i="19"/>
  <c r="F14" i="19"/>
  <c r="F15" i="19"/>
  <c r="C120" i="19" s="1"/>
  <c r="F16" i="19"/>
  <c r="C121" i="19" s="1"/>
  <c r="F5" i="19"/>
  <c r="C115" i="19" s="1"/>
  <c r="F21" i="19"/>
  <c r="F7" i="19"/>
  <c r="F18" i="19"/>
  <c r="C123" i="19" s="1"/>
  <c r="F11" i="19"/>
  <c r="F9" i="19"/>
  <c r="F17" i="19"/>
  <c r="C122" i="19" s="1"/>
  <c r="F64" i="19"/>
  <c r="F56" i="19"/>
  <c r="F66" i="19"/>
  <c r="F55" i="19"/>
  <c r="F71" i="19"/>
  <c r="F59" i="19"/>
  <c r="F69" i="19"/>
  <c r="F70" i="19"/>
  <c r="F58" i="19"/>
  <c r="F72" i="19"/>
  <c r="F65" i="19"/>
  <c r="F62" i="19"/>
  <c r="F57" i="19"/>
  <c r="F67" i="19"/>
  <c r="F61" i="19"/>
  <c r="F60" i="19"/>
  <c r="F68" i="19"/>
  <c r="F54" i="19"/>
  <c r="D118" i="19" l="1"/>
  <c r="C125" i="19"/>
  <c r="F13" i="19"/>
  <c r="C116" i="19"/>
  <c r="D125" i="19"/>
  <c r="F73" i="19"/>
  <c r="F63" i="19"/>
  <c r="F23" i="19"/>
  <c r="F24" i="19" l="1"/>
  <c r="F74" i="19"/>
</calcChain>
</file>

<file path=xl/sharedStrings.xml><?xml version="1.0" encoding="utf-8"?>
<sst xmlns="http://schemas.openxmlformats.org/spreadsheetml/2006/main" count="153" uniqueCount="77">
  <si>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</si>
  <si>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</si>
  <si>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</si>
  <si>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</si>
  <si>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</si>
  <si>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</si>
  <si>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</si>
  <si>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</si>
  <si>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</si>
  <si>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</si>
  <si>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Typengruppe</t>
  </si>
  <si>
    <t>System</t>
  </si>
  <si>
    <r>
      <t xml:space="preserve"> § 15 (1) Nr. 1  BattG
</t>
    </r>
    <r>
      <rPr>
        <b/>
        <sz val="10"/>
        <rFont val="Arial"/>
        <family val="2"/>
      </rPr>
      <t>Masse der in Verkehr gebrachten Batterien</t>
    </r>
  </si>
  <si>
    <t>Rebat</t>
  </si>
  <si>
    <t>ERP</t>
  </si>
  <si>
    <t>[t]</t>
  </si>
  <si>
    <t>[%]</t>
  </si>
  <si>
    <t>I</t>
  </si>
  <si>
    <t>Primärbatterien</t>
  </si>
  <si>
    <t>Rundzellen / Blockbatterien</t>
  </si>
  <si>
    <t>ZnC</t>
  </si>
  <si>
    <t xml:space="preserve">Typengruppe
</t>
  </si>
  <si>
    <t xml:space="preserve">System
</t>
  </si>
  <si>
    <r>
      <t xml:space="preserve">§ 15 (1) Nr. 1 BattG
</t>
    </r>
    <r>
      <rPr>
        <b/>
        <sz val="10"/>
        <color indexed="8"/>
        <rFont val="Arial"/>
        <family val="1"/>
        <charset val="204"/>
      </rPr>
      <t xml:space="preserve">Masse der in Verkehr gebrachten Batterien
</t>
    </r>
  </si>
  <si>
    <t>AlMn</t>
  </si>
  <si>
    <t xml:space="preserve">[t]
</t>
  </si>
  <si>
    <t>Zn-Luft</t>
  </si>
  <si>
    <t xml:space="preserve">Rundzellen / Blockbatterien
</t>
  </si>
  <si>
    <t xml:space="preserve">ZnC
</t>
  </si>
  <si>
    <t>Li</t>
  </si>
  <si>
    <t xml:space="preserve">AlMn
</t>
  </si>
  <si>
    <t>Knopfzellen</t>
  </si>
  <si>
    <t>AgO</t>
  </si>
  <si>
    <t xml:space="preserve">Zn-Luft
</t>
  </si>
  <si>
    <t xml:space="preserve">Li
</t>
  </si>
  <si>
    <t xml:space="preserve">Knopfzellen
</t>
  </si>
  <si>
    <t xml:space="preserve">AgO
</t>
  </si>
  <si>
    <t xml:space="preserve">Sonstige </t>
  </si>
  <si>
    <t>Summe</t>
  </si>
  <si>
    <t>Sekundärbatterien</t>
  </si>
  <si>
    <t>Rund-/Prismatische Zellen / Blockbatterien</t>
  </si>
  <si>
    <t xml:space="preserve">Sonstige
</t>
  </si>
  <si>
    <t>Li-Ion</t>
  </si>
  <si>
    <t xml:space="preserve">Summe
</t>
  </si>
  <si>
    <t>NiMH</t>
  </si>
  <si>
    <t xml:space="preserve">Rund-/Prismatische Zellen / Blockbatterien
</t>
  </si>
  <si>
    <t>NiCd</t>
  </si>
  <si>
    <t xml:space="preserve">Li-Ion
</t>
  </si>
  <si>
    <t>Pb</t>
  </si>
  <si>
    <t xml:space="preserve">NiMH
</t>
  </si>
  <si>
    <t xml:space="preserve">NiCd
</t>
  </si>
  <si>
    <t xml:space="preserve">Pb
</t>
  </si>
  <si>
    <t>Sonstige</t>
  </si>
  <si>
    <t>Gesamt</t>
  </si>
  <si>
    <t xml:space="preserve">nicht identifizierbar
</t>
  </si>
  <si>
    <t xml:space="preserve">Gesamt
</t>
  </si>
  <si>
    <t xml:space="preserve">Berichtsjahr 2011
</t>
  </si>
  <si>
    <t xml:space="preserve">Jahr vor Berichtsjahr: 2010
</t>
  </si>
  <si>
    <t xml:space="preserve">vorletztes Jahr vor Berichtsjahr:
2009
</t>
  </si>
  <si>
    <t>Jahr</t>
  </si>
  <si>
    <t>Tsd.</t>
  </si>
  <si>
    <t>Sonstige (HgO)</t>
  </si>
  <si>
    <t>Trend gegenüber 2010 in %</t>
  </si>
  <si>
    <t xml:space="preserve"> Alkali-Mangan</t>
  </si>
  <si>
    <t xml:space="preserve"> Zink-Kohle</t>
  </si>
  <si>
    <t>Sonstige Primärbatterien</t>
  </si>
  <si>
    <t xml:space="preserve">Li-Ion </t>
  </si>
  <si>
    <t>Nickel-Metallhydrid</t>
  </si>
  <si>
    <t>Nickel-Cadmium</t>
  </si>
  <si>
    <t>Blei-Säure</t>
  </si>
  <si>
    <t>Tonnen</t>
  </si>
  <si>
    <t>Sekundärbatterien (Akkus)</t>
  </si>
  <si>
    <t>Lithium-Primär
(nicht wiederaufladbar)</t>
  </si>
  <si>
    <t>Li-Ion
(wiederaufladbar)</t>
  </si>
  <si>
    <t>Gerätebatterien: Entwicklung der in Verkehr gebrachten Primär- und Sekundärbatterien und der größten Batteriesysteme</t>
  </si>
  <si>
    <t>Leichter Rückgang bei den wiederaufladbaren Li-Ion Batterien</t>
  </si>
  <si>
    <t>Erfolgskontrollberichte der Rücknahmesysteme für Geräte-Altbatterien 2015 bis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</si>
</sst>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Quelle:&quot;\ @"/>
    <numFmt numFmtId="165" formatCode="#,##0.0"/>
    <numFmt numFmtId="166" formatCode="#,##0.000"/>
    <numFmt numFmtId="167" formatCode="#,##0.000_);\-#,##0.000"/>
    <numFmt numFmtId="168" formatCode="#,##0_);\-#,##0"/>
    <numFmt numFmtId="169" formatCode="#,##0.00000_);\-#,##0.00000"/>
    <numFmt numFmtId="170" formatCode="#,##0.00_);\-#,##0.00"/>
    <numFmt numFmtId="171" formatCode="#,##0.000000_);\-#,##0.000000"/>
    <numFmt numFmtId="172" formatCode="0.000"/>
    <numFmt numFmtId="173" formatCode="#,##0.0_);\-#,##0.0"/>
    <numFmt numFmtId="174" formatCode="#,###\ &quot;t&quot;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u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name val="Arial"/>
      <family val="2"/>
    </font>
    <font>
      <sz val="11"/>
      <color rgb="FF00B050"/>
      <name val="Calibri"/>
      <family val="2"/>
      <scheme val="minor"/>
    </font>
    <font>
      <sz val="10"/>
      <name val="Times New Roman"/>
      <family val="1"/>
      <charset val="204"/>
    </font>
    <font>
      <b/>
      <sz val="10"/>
      <color indexed="8"/>
      <name val="Arial"/>
      <family val="1"/>
      <charset val="204"/>
    </font>
    <font>
      <sz val="10"/>
      <color indexed="8"/>
      <name val="Arial"/>
      <family val="1"/>
      <charset val="204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25"/>
      <name val="Calibri"/>
      <family val="2"/>
      <scheme val="minor"/>
    </font>
    <font>
      <sz val="10"/>
      <color indexed="25"/>
      <name val="Arial"/>
      <family val="2"/>
    </font>
    <font>
      <b/>
      <sz val="10"/>
      <color rgb="FF00B050"/>
      <name val="Arial"/>
      <family val="2"/>
    </font>
    <font>
      <sz val="11"/>
      <color theme="1"/>
      <name val="Calibri"/>
      <family val="2"/>
    </font>
    <font>
      <b/>
      <sz val="10"/>
      <color indexed="8"/>
      <name val="Arial"/>
      <family val="2"/>
    </font>
    <font>
      <sz val="11"/>
      <color rgb="FF00B050"/>
      <name val="Calibri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0C0C0"/>
        <bgColor indexed="64"/>
      </patternFill>
    </fill>
    <fill>
      <patternFill patternType="lightGray">
        <bgColor indexed="43"/>
      </patternFill>
    </fill>
    <fill>
      <patternFill patternType="solid">
        <fgColor rgb="FFFFCC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tted">
        <color theme="1"/>
      </left>
      <right/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</borders>
  <cellStyleXfs count="9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5" fillId="0" borderId="0"/>
    <xf numFmtId="0" fontId="40" fillId="0" borderId="0" applyNumberFormat="0" applyFill="0" applyBorder="0" applyProtection="0">
      <alignment vertical="top" wrapText="1"/>
    </xf>
    <xf numFmtId="9" fontId="3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30" applyNumberFormat="0" applyFill="0" applyAlignment="0" applyProtection="0"/>
    <xf numFmtId="0" fontId="58" fillId="0" borderId="31" applyNumberFormat="0" applyFill="0" applyAlignment="0" applyProtection="0"/>
    <xf numFmtId="0" fontId="59" fillId="0" borderId="32" applyNumberFormat="0" applyFill="0" applyAlignment="0" applyProtection="0"/>
    <xf numFmtId="0" fontId="59" fillId="0" borderId="0" applyNumberFormat="0" applyFill="0" applyBorder="0" applyAlignment="0" applyProtection="0"/>
    <xf numFmtId="0" fontId="60" fillId="42" borderId="0" applyNumberFormat="0" applyBorder="0" applyAlignment="0" applyProtection="0"/>
    <xf numFmtId="0" fontId="61" fillId="43" borderId="0" applyNumberFormat="0" applyBorder="0" applyAlignment="0" applyProtection="0"/>
    <xf numFmtId="0" fontId="62" fillId="44" borderId="0" applyNumberFormat="0" applyBorder="0" applyAlignment="0" applyProtection="0"/>
    <xf numFmtId="0" fontId="63" fillId="45" borderId="33" applyNumberFormat="0" applyAlignment="0" applyProtection="0"/>
    <xf numFmtId="0" fontId="64" fillId="46" borderId="34" applyNumberFormat="0" applyAlignment="0" applyProtection="0"/>
    <xf numFmtId="0" fontId="65" fillId="46" borderId="33" applyNumberFormat="0" applyAlignment="0" applyProtection="0"/>
    <xf numFmtId="0" fontId="66" fillId="0" borderId="35" applyNumberFormat="0" applyFill="0" applyAlignment="0" applyProtection="0"/>
    <xf numFmtId="0" fontId="67" fillId="47" borderId="36" applyNumberFormat="0" applyAlignment="0" applyProtection="0"/>
    <xf numFmtId="0" fontId="36" fillId="0" borderId="0" applyNumberFormat="0" applyFill="0" applyBorder="0" applyAlignment="0" applyProtection="0"/>
    <xf numFmtId="0" fontId="1" fillId="48" borderId="37" applyNumberFormat="0" applyFont="0" applyAlignment="0" applyProtection="0"/>
    <xf numFmtId="0" fontId="68" fillId="0" borderId="0" applyNumberFormat="0" applyFill="0" applyBorder="0" applyAlignment="0" applyProtection="0"/>
    <xf numFmtId="0" fontId="55" fillId="0" borderId="38" applyNumberFormat="0" applyFill="0" applyAlignment="0" applyProtection="0"/>
    <xf numFmtId="0" fontId="69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69" fillId="52" borderId="0" applyNumberFormat="0" applyBorder="0" applyAlignment="0" applyProtection="0"/>
    <xf numFmtId="0" fontId="69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69" fillId="56" borderId="0" applyNumberFormat="0" applyBorder="0" applyAlignment="0" applyProtection="0"/>
    <xf numFmtId="0" fontId="69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69" fillId="60" borderId="0" applyNumberFormat="0" applyBorder="0" applyAlignment="0" applyProtection="0"/>
    <xf numFmtId="0" fontId="69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69" fillId="64" borderId="0" applyNumberFormat="0" applyBorder="0" applyAlignment="0" applyProtection="0"/>
    <xf numFmtId="0" fontId="69" fillId="65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69" fillId="68" borderId="0" applyNumberFormat="0" applyBorder="0" applyAlignment="0" applyProtection="0"/>
    <xf numFmtId="0" fontId="69" fillId="69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69" fillId="72" borderId="0" applyNumberFormat="0" applyBorder="0" applyAlignment="0" applyProtection="0"/>
    <xf numFmtId="9" fontId="40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98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Alignment="1" applyProtection="1"/>
    <xf numFmtId="0" fontId="29" fillId="24" borderId="0" xfId="0" applyFont="1" applyFill="1" applyBorder="1" applyProtection="1"/>
    <xf numFmtId="0" fontId="29" fillId="24" borderId="0" xfId="0" applyFont="1" applyFill="1" applyBorder="1" applyProtection="1">
      <protection locked="0"/>
    </xf>
    <xf numFmtId="0" fontId="29" fillId="24" borderId="0" xfId="0" applyFont="1" applyFill="1" applyBorder="1" applyAlignment="1" applyProtection="1">
      <alignment vertical="center"/>
    </xf>
    <xf numFmtId="0" fontId="31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21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4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31" fillId="25" borderId="24" xfId="0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right" vertical="center" wrapText="1" indent="3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1" fillId="24" borderId="17" xfId="0" applyFont="1" applyFill="1" applyBorder="1" applyAlignment="1" applyProtection="1">
      <alignment horizontal="right" indent="1"/>
    </xf>
    <xf numFmtId="0" fontId="0" fillId="24" borderId="18" xfId="0" applyFill="1" applyBorder="1"/>
    <xf numFmtId="0" fontId="35" fillId="0" borderId="0" xfId="43"/>
    <xf numFmtId="0" fontId="35" fillId="0" borderId="0" xfId="43" applyAlignment="1">
      <alignment wrapText="1"/>
    </xf>
    <xf numFmtId="0" fontId="34" fillId="0" borderId="10" xfId="43" applyFont="1" applyBorder="1" applyAlignment="1">
      <alignment horizontal="center" vertical="center" wrapText="1"/>
    </xf>
    <xf numFmtId="0" fontId="36" fillId="0" borderId="0" xfId="43" applyFont="1" applyAlignment="1">
      <alignment wrapText="1"/>
    </xf>
    <xf numFmtId="0" fontId="36" fillId="0" borderId="0" xfId="43" applyFont="1"/>
    <xf numFmtId="0" fontId="35" fillId="0" borderId="10" xfId="43" applyBorder="1"/>
    <xf numFmtId="0" fontId="35" fillId="0" borderId="10" xfId="43" applyBorder="1" applyAlignment="1"/>
    <xf numFmtId="0" fontId="35" fillId="0" borderId="10" xfId="43" applyBorder="1" applyAlignment="1">
      <alignment horizontal="center"/>
    </xf>
    <xf numFmtId="0" fontId="37" fillId="0" borderId="0" xfId="43" applyFont="1"/>
    <xf numFmtId="0" fontId="34" fillId="0" borderId="0" xfId="43" applyFont="1" applyAlignment="1">
      <alignment horizontal="center"/>
    </xf>
    <xf numFmtId="0" fontId="35" fillId="0" borderId="0" xfId="43" applyAlignment="1">
      <alignment horizontal="center"/>
    </xf>
    <xf numFmtId="3" fontId="39" fillId="28" borderId="10" xfId="43" applyNumberFormat="1" applyFont="1" applyFill="1" applyBorder="1" applyAlignment="1"/>
    <xf numFmtId="165" fontId="35" fillId="28" borderId="10" xfId="43" applyNumberFormat="1" applyFill="1" applyBorder="1" applyAlignment="1">
      <alignment horizontal="right"/>
    </xf>
    <xf numFmtId="0" fontId="41" fillId="24" borderId="10" xfId="44" applyFont="1" applyFill="1" applyBorder="1" applyAlignment="1">
      <alignment horizontal="left" vertical="center" wrapText="1"/>
    </xf>
    <xf numFmtId="0" fontId="2" fillId="0" borderId="10" xfId="43" applyFont="1" applyBorder="1" applyAlignment="1">
      <alignment horizontal="center" vertical="top" wrapText="1"/>
    </xf>
    <xf numFmtId="0" fontId="42" fillId="24" borderId="10" xfId="44" applyFont="1" applyFill="1" applyBorder="1" applyAlignment="1">
      <alignment horizontal="left" vertical="top" wrapText="1"/>
    </xf>
    <xf numFmtId="0" fontId="40" fillId="24" borderId="10" xfId="44" applyFont="1" applyFill="1" applyBorder="1" applyAlignment="1">
      <alignment horizontal="left" vertical="top" wrapText="1"/>
    </xf>
    <xf numFmtId="0" fontId="42" fillId="24" borderId="10" xfId="44" applyFont="1" applyFill="1" applyBorder="1" applyAlignment="1">
      <alignment horizontal="center"/>
    </xf>
    <xf numFmtId="3" fontId="35" fillId="0" borderId="0" xfId="43" applyNumberFormat="1"/>
    <xf numFmtId="166" fontId="35" fillId="29" borderId="10" xfId="43" applyNumberFormat="1" applyFill="1" applyBorder="1" applyAlignment="1">
      <alignment horizontal="right"/>
    </xf>
    <xf numFmtId="167" fontId="43" fillId="28" borderId="10" xfId="44" applyNumberFormat="1" applyFont="1" applyFill="1" applyBorder="1" applyAlignment="1">
      <alignment horizontal="right"/>
    </xf>
    <xf numFmtId="168" fontId="44" fillId="24" borderId="10" xfId="44" applyNumberFormat="1" applyFont="1" applyFill="1" applyBorder="1" applyAlignment="1">
      <alignment horizontal="left" vertical="top" wrapText="1"/>
    </xf>
    <xf numFmtId="167" fontId="45" fillId="28" borderId="10" xfId="44" applyNumberFormat="1" applyFont="1" applyFill="1" applyBorder="1" applyAlignment="1">
      <alignment horizontal="right"/>
    </xf>
    <xf numFmtId="168" fontId="45" fillId="28" borderId="10" xfId="44" applyNumberFormat="1" applyFont="1" applyFill="1" applyBorder="1" applyAlignment="1">
      <alignment horizontal="right"/>
    </xf>
    <xf numFmtId="169" fontId="45" fillId="28" borderId="10" xfId="44" applyNumberFormat="1" applyFont="1" applyFill="1" applyBorder="1" applyAlignment="1">
      <alignment horizontal="right"/>
    </xf>
    <xf numFmtId="0" fontId="2" fillId="0" borderId="15" xfId="43" applyFont="1" applyFill="1" applyBorder="1" applyAlignment="1">
      <alignment horizontal="center" vertical="center" wrapText="1"/>
    </xf>
    <xf numFmtId="170" fontId="45" fillId="28" borderId="10" xfId="44" applyNumberFormat="1" applyFont="1" applyFill="1" applyBorder="1" applyAlignment="1">
      <alignment horizontal="right"/>
    </xf>
    <xf numFmtId="0" fontId="38" fillId="27" borderId="15" xfId="43" applyFont="1" applyFill="1" applyBorder="1" applyAlignment="1">
      <alignment horizontal="center" vertical="center" textRotation="90"/>
    </xf>
    <xf numFmtId="0" fontId="2" fillId="32" borderId="10" xfId="43" applyFont="1" applyFill="1" applyBorder="1" applyAlignment="1">
      <alignment horizontal="center" vertical="center" wrapText="1"/>
    </xf>
    <xf numFmtId="0" fontId="35" fillId="32" borderId="10" xfId="43" applyFill="1" applyBorder="1" applyAlignment="1"/>
    <xf numFmtId="3" fontId="39" fillId="32" borderId="10" xfId="43" applyNumberFormat="1" applyFont="1" applyFill="1" applyBorder="1" applyAlignment="1"/>
    <xf numFmtId="165" fontId="35" fillId="32" borderId="10" xfId="43" applyNumberFormat="1" applyFill="1" applyBorder="1" applyAlignment="1">
      <alignment horizontal="right"/>
    </xf>
    <xf numFmtId="171" fontId="45" fillId="28" borderId="10" xfId="44" applyNumberFormat="1" applyFont="1" applyFill="1" applyBorder="1" applyAlignment="1">
      <alignment horizontal="right"/>
    </xf>
    <xf numFmtId="165" fontId="35" fillId="29" borderId="10" xfId="43" applyNumberFormat="1" applyFill="1" applyBorder="1" applyAlignment="1">
      <alignment horizontal="right"/>
    </xf>
    <xf numFmtId="168" fontId="46" fillId="24" borderId="10" xfId="44" applyNumberFormat="1" applyFont="1" applyFill="1" applyBorder="1" applyAlignment="1">
      <alignment horizontal="left" vertical="top" wrapText="1"/>
    </xf>
    <xf numFmtId="168" fontId="44" fillId="34" borderId="10" xfId="44" applyNumberFormat="1" applyFont="1" applyFill="1" applyBorder="1" applyAlignment="1">
      <alignment horizontal="left" vertical="top" wrapText="1"/>
    </xf>
    <xf numFmtId="168" fontId="46" fillId="34" borderId="10" xfId="44" applyNumberFormat="1" applyFont="1" applyFill="1" applyBorder="1" applyAlignment="1">
      <alignment horizontal="left" vertical="top" wrapText="1"/>
    </xf>
    <xf numFmtId="172" fontId="35" fillId="32" borderId="10" xfId="43" applyNumberFormat="1" applyFill="1" applyBorder="1" applyAlignment="1">
      <alignment horizontal="right"/>
    </xf>
    <xf numFmtId="171" fontId="45" fillId="34" borderId="10" xfId="44" applyNumberFormat="1" applyFont="1" applyFill="1" applyBorder="1" applyAlignment="1">
      <alignment horizontal="right"/>
    </xf>
    <xf numFmtId="3" fontId="35" fillId="29" borderId="10" xfId="43" applyNumberFormat="1" applyFill="1" applyBorder="1" applyAlignment="1">
      <alignment horizontal="right"/>
    </xf>
    <xf numFmtId="173" fontId="44" fillId="24" borderId="10" xfId="44" applyNumberFormat="1" applyFont="1" applyFill="1" applyBorder="1" applyAlignment="1">
      <alignment horizontal="left" vertical="top" wrapText="1"/>
    </xf>
    <xf numFmtId="167" fontId="44" fillId="24" borderId="10" xfId="44" applyNumberFormat="1" applyFont="1" applyFill="1" applyBorder="1" applyAlignment="1">
      <alignment horizontal="left" vertical="top" wrapText="1"/>
    </xf>
    <xf numFmtId="0" fontId="2" fillId="0" borderId="10" xfId="43" applyFont="1" applyFill="1" applyBorder="1" applyAlignment="1">
      <alignment horizontal="center" vertical="center" wrapText="1"/>
    </xf>
    <xf numFmtId="0" fontId="38" fillId="32" borderId="10" xfId="43" applyFont="1" applyFill="1" applyBorder="1" applyAlignment="1">
      <alignment horizontal="center" vertical="center" textRotation="90"/>
    </xf>
    <xf numFmtId="3" fontId="47" fillId="32" borderId="10" xfId="43" applyNumberFormat="1" applyFont="1" applyFill="1" applyBorder="1"/>
    <xf numFmtId="3" fontId="35" fillId="32" borderId="10" xfId="43" applyNumberFormat="1" applyFill="1" applyBorder="1" applyAlignment="1">
      <alignment horizontal="right"/>
    </xf>
    <xf numFmtId="166" fontId="35" fillId="32" borderId="10" xfId="43" applyNumberFormat="1" applyFill="1" applyBorder="1" applyAlignment="1">
      <alignment horizontal="right"/>
    </xf>
    <xf numFmtId="168" fontId="45" fillId="34" borderId="10" xfId="44" applyNumberFormat="1" applyFont="1" applyFill="1" applyBorder="1" applyAlignment="1">
      <alignment horizontal="right"/>
    </xf>
    <xf numFmtId="0" fontId="34" fillId="0" borderId="0" xfId="43" applyFont="1" applyBorder="1" applyAlignment="1">
      <alignment horizontal="center" vertical="center" wrapText="1"/>
    </xf>
    <xf numFmtId="0" fontId="35" fillId="0" borderId="0" xfId="43" applyBorder="1" applyAlignment="1">
      <alignment horizontal="center"/>
    </xf>
    <xf numFmtId="0" fontId="35" fillId="0" borderId="0" xfId="43" applyBorder="1"/>
    <xf numFmtId="0" fontId="35" fillId="35" borderId="10" xfId="43" applyFill="1" applyBorder="1" applyAlignment="1">
      <alignment horizontal="right"/>
    </xf>
    <xf numFmtId="168" fontId="45" fillId="24" borderId="10" xfId="44" applyNumberFormat="1" applyFont="1" applyFill="1" applyBorder="1" applyAlignment="1">
      <alignment horizontal="right"/>
    </xf>
    <xf numFmtId="168" fontId="49" fillId="34" borderId="10" xfId="44" applyNumberFormat="1" applyFont="1" applyFill="1" applyBorder="1" applyAlignment="1">
      <alignment horizontal="left" vertical="top" wrapText="1"/>
    </xf>
    <xf numFmtId="166" fontId="34" fillId="32" borderId="10" xfId="43" applyNumberFormat="1" applyFont="1" applyFill="1" applyBorder="1"/>
    <xf numFmtId="0" fontId="48" fillId="0" borderId="10" xfId="43" applyFont="1" applyBorder="1"/>
    <xf numFmtId="0" fontId="48" fillId="0" borderId="10" xfId="43" applyFont="1" applyBorder="1" applyAlignment="1"/>
    <xf numFmtId="0" fontId="48" fillId="0" borderId="10" xfId="43" applyFont="1" applyBorder="1" applyAlignment="1">
      <alignment horizontal="center"/>
    </xf>
    <xf numFmtId="3" fontId="50" fillId="37" borderId="10" xfId="43" applyNumberFormat="1" applyFont="1" applyFill="1" applyBorder="1" applyAlignment="1"/>
    <xf numFmtId="3" fontId="48" fillId="37" borderId="10" xfId="43" applyNumberFormat="1" applyFont="1" applyFill="1" applyBorder="1" applyAlignment="1">
      <alignment horizontal="right"/>
    </xf>
    <xf numFmtId="3" fontId="34" fillId="32" borderId="15" xfId="43" applyNumberFormat="1" applyFont="1" applyFill="1" applyBorder="1"/>
    <xf numFmtId="168" fontId="45" fillId="34" borderId="29" xfId="44" applyNumberFormat="1" applyFont="1" applyFill="1" applyBorder="1" applyAlignment="1">
      <alignment horizontal="right"/>
    </xf>
    <xf numFmtId="0" fontId="51" fillId="0" borderId="0" xfId="43" applyFont="1"/>
    <xf numFmtId="0" fontId="38" fillId="36" borderId="15" xfId="43" applyFont="1" applyFill="1" applyBorder="1" applyAlignment="1">
      <alignment horizontal="center" vertical="center" textRotation="90"/>
    </xf>
    <xf numFmtId="0" fontId="2" fillId="39" borderId="10" xfId="43" applyFont="1" applyFill="1" applyBorder="1" applyAlignment="1">
      <alignment horizontal="center" vertical="center" wrapText="1"/>
    </xf>
    <xf numFmtId="0" fontId="48" fillId="39" borderId="10" xfId="43" applyFont="1" applyFill="1" applyBorder="1" applyAlignment="1"/>
    <xf numFmtId="3" fontId="50" fillId="39" borderId="10" xfId="43" applyNumberFormat="1" applyFont="1" applyFill="1" applyBorder="1" applyAlignment="1"/>
    <xf numFmtId="3" fontId="48" fillId="39" borderId="10" xfId="43" applyNumberFormat="1" applyFont="1" applyFill="1" applyBorder="1" applyAlignment="1">
      <alignment horizontal="right"/>
    </xf>
    <xf numFmtId="0" fontId="34" fillId="0" borderId="0" xfId="43" applyFont="1"/>
    <xf numFmtId="0" fontId="38" fillId="39" borderId="10" xfId="43" applyFont="1" applyFill="1" applyBorder="1" applyAlignment="1">
      <alignment horizontal="center" vertical="center" textRotation="90"/>
    </xf>
    <xf numFmtId="3" fontId="47" fillId="39" borderId="10" xfId="43" applyNumberFormat="1" applyFont="1" applyFill="1" applyBorder="1"/>
    <xf numFmtId="172" fontId="35" fillId="0" borderId="0" xfId="43" applyNumberFormat="1"/>
    <xf numFmtId="3" fontId="35" fillId="28" borderId="10" xfId="43" applyNumberFormat="1" applyFill="1" applyBorder="1" applyAlignment="1"/>
    <xf numFmtId="3" fontId="35" fillId="28" borderId="10" xfId="43" applyNumberFormat="1" applyFill="1" applyBorder="1" applyAlignment="1">
      <alignment horizontal="right"/>
    </xf>
    <xf numFmtId="3" fontId="35" fillId="32" borderId="10" xfId="43" applyNumberFormat="1" applyFill="1" applyBorder="1" applyAlignment="1"/>
    <xf numFmtId="3" fontId="43" fillId="28" borderId="10" xfId="43" applyNumberFormat="1" applyFont="1" applyFill="1" applyBorder="1" applyAlignment="1"/>
    <xf numFmtId="3" fontId="34" fillId="32" borderId="10" xfId="43" applyNumberFormat="1" applyFont="1" applyFill="1" applyBorder="1"/>
    <xf numFmtId="174" fontId="35" fillId="0" borderId="0" xfId="43" applyNumberFormat="1"/>
    <xf numFmtId="0" fontId="35" fillId="41" borderId="0" xfId="43" applyFill="1"/>
    <xf numFmtId="174" fontId="35" fillId="41" borderId="0" xfId="43" applyNumberFormat="1" applyFill="1"/>
    <xf numFmtId="0" fontId="33" fillId="0" borderId="10" xfId="43" applyFont="1" applyBorder="1" applyAlignment="1">
      <alignment horizontal="left" vertical="center" wrapText="1"/>
    </xf>
    <xf numFmtId="0" fontId="52" fillId="0" borderId="10" xfId="43" applyFont="1" applyBorder="1" applyAlignment="1"/>
    <xf numFmtId="4" fontId="53" fillId="0" borderId="10" xfId="43" applyNumberFormat="1" applyFont="1" applyBorder="1"/>
    <xf numFmtId="0" fontId="53" fillId="0" borderId="10" xfId="43" applyFont="1" applyBorder="1" applyAlignment="1"/>
    <xf numFmtId="0" fontId="54" fillId="0" borderId="10" xfId="43" applyFont="1" applyBorder="1" applyAlignment="1">
      <alignment wrapText="1"/>
    </xf>
    <xf numFmtId="165" fontId="36" fillId="0" borderId="0" xfId="43" applyNumberFormat="1" applyFont="1"/>
    <xf numFmtId="0" fontId="54" fillId="0" borderId="10" xfId="43" applyFont="1" applyBorder="1" applyAlignment="1"/>
    <xf numFmtId="3" fontId="35" fillId="0" borderId="10" xfId="43" applyNumberFormat="1" applyBorder="1"/>
    <xf numFmtId="0" fontId="35" fillId="0" borderId="10" xfId="43" applyFill="1" applyBorder="1" applyAlignment="1"/>
    <xf numFmtId="4" fontId="36" fillId="0" borderId="0" xfId="43" applyNumberFormat="1" applyFont="1"/>
    <xf numFmtId="174" fontId="0" fillId="0" borderId="0" xfId="0" applyNumberFormat="1"/>
    <xf numFmtId="0" fontId="27" fillId="26" borderId="21" xfId="0" applyNumberFormat="1" applyFont="1" applyFill="1" applyBorder="1" applyAlignment="1">
      <alignment horizontal="left" vertical="center" wrapText="1"/>
    </xf>
    <xf numFmtId="0" fontId="31" fillId="25" borderId="23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 applyProtection="1">
      <alignment horizontal="left" vertical="top" wrapText="1"/>
    </xf>
    <xf numFmtId="0" fontId="28" fillId="24" borderId="0" xfId="0" applyFont="1" applyFill="1" applyBorder="1"/>
    <xf numFmtId="3" fontId="30" fillId="0" borderId="22" xfId="0" applyNumberFormat="1" applyFont="1" applyFill="1" applyBorder="1" applyAlignment="1">
      <alignment horizontal="right" vertical="center" wrapText="1" indent="3"/>
    </xf>
    <xf numFmtId="0" fontId="26" fillId="24" borderId="0" xfId="0" applyFont="1" applyFill="1" applyBorder="1" applyAlignment="1" applyProtection="1">
      <alignment horizontal="left" vertical="top" wrapText="1"/>
    </xf>
    <xf numFmtId="3" fontId="30" fillId="26" borderId="39" xfId="0" applyNumberFormat="1" applyFont="1" applyFill="1" applyBorder="1" applyAlignment="1">
      <alignment horizontal="right" vertical="center" wrapText="1" indent="3"/>
    </xf>
    <xf numFmtId="3" fontId="30" fillId="0" borderId="39" xfId="0" applyNumberFormat="1" applyFont="1" applyFill="1" applyBorder="1" applyAlignment="1">
      <alignment horizontal="right" vertical="center" wrapText="1" indent="3"/>
    </xf>
    <xf numFmtId="0" fontId="27" fillId="0" borderId="21" xfId="0" applyNumberFormat="1" applyFont="1" applyFill="1" applyBorder="1" applyAlignment="1">
      <alignment horizontal="left" vertical="center" wrapText="1"/>
    </xf>
    <xf numFmtId="0" fontId="27" fillId="0" borderId="40" xfId="0" applyNumberFormat="1" applyFont="1" applyFill="1" applyBorder="1" applyAlignment="1">
      <alignment horizontal="left" vertical="center" wrapText="1"/>
    </xf>
    <xf numFmtId="3" fontId="30" fillId="0" borderId="41" xfId="0" applyNumberFormat="1" applyFont="1" applyFill="1" applyBorder="1" applyAlignment="1">
      <alignment horizontal="right" vertical="center" wrapText="1" indent="3"/>
    </xf>
    <xf numFmtId="3" fontId="30" fillId="0" borderId="42" xfId="0" applyNumberFormat="1" applyFont="1" applyFill="1" applyBorder="1" applyAlignment="1">
      <alignment horizontal="right" vertical="center" wrapText="1" indent="3"/>
    </xf>
    <xf numFmtId="0" fontId="27" fillId="26" borderId="40" xfId="0" applyNumberFormat="1" applyFont="1" applyFill="1" applyBorder="1" applyAlignment="1">
      <alignment horizontal="left" vertical="center" wrapText="1"/>
    </xf>
    <xf numFmtId="3" fontId="30" fillId="26" borderId="41" xfId="0" applyNumberFormat="1" applyFont="1" applyFill="1" applyBorder="1" applyAlignment="1">
      <alignment horizontal="right" vertical="center" wrapText="1" indent="3"/>
    </xf>
    <xf numFmtId="3" fontId="30" fillId="26" borderId="42" xfId="0" applyNumberFormat="1" applyFont="1" applyFill="1" applyBorder="1" applyAlignment="1">
      <alignment horizontal="right" vertical="center" wrapText="1" indent="3"/>
    </xf>
    <xf numFmtId="0" fontId="2" fillId="0" borderId="19" xfId="43" applyFont="1" applyBorder="1" applyAlignment="1">
      <alignment horizontal="center" vertical="top" wrapText="1"/>
    </xf>
    <xf numFmtId="0" fontId="48" fillId="0" borderId="13" xfId="43" applyFont="1" applyBorder="1" applyAlignment="1">
      <alignment horizontal="center" vertical="top" wrapText="1"/>
    </xf>
    <xf numFmtId="0" fontId="35" fillId="0" borderId="13" xfId="43" applyBorder="1" applyAlignment="1">
      <alignment horizontal="center" vertical="top" wrapText="1"/>
    </xf>
    <xf numFmtId="0" fontId="38" fillId="27" borderId="28" xfId="43" applyFont="1" applyFill="1" applyBorder="1" applyAlignment="1">
      <alignment horizontal="center" vertical="center" textRotation="90"/>
    </xf>
    <xf numFmtId="0" fontId="35" fillId="27" borderId="14" xfId="43" applyFill="1" applyBorder="1" applyAlignment="1">
      <alignment horizontal="center" vertical="center" textRotation="90"/>
    </xf>
    <xf numFmtId="0" fontId="35" fillId="0" borderId="28" xfId="43" applyBorder="1" applyAlignment="1">
      <alignment horizontal="center" vertical="center" wrapText="1"/>
    </xf>
    <xf numFmtId="0" fontId="35" fillId="0" borderId="14" xfId="43" applyBorder="1" applyAlignment="1">
      <alignment horizontal="center" vertical="center" wrapText="1"/>
    </xf>
    <xf numFmtId="0" fontId="35" fillId="0" borderId="15" xfId="43" applyBorder="1" applyAlignment="1">
      <alignment horizontal="center" vertical="center" wrapText="1"/>
    </xf>
    <xf numFmtId="0" fontId="42" fillId="24" borderId="10" xfId="44" applyFont="1" applyFill="1" applyBorder="1" applyAlignment="1">
      <alignment horizontal="left" wrapText="1"/>
    </xf>
    <xf numFmtId="0" fontId="2" fillId="30" borderId="28" xfId="43" applyFont="1" applyFill="1" applyBorder="1" applyAlignment="1">
      <alignment horizontal="center" vertical="center" wrapText="1"/>
    </xf>
    <xf numFmtId="0" fontId="2" fillId="30" borderId="14" xfId="43" applyFont="1" applyFill="1" applyBorder="1" applyAlignment="1">
      <alignment horizontal="center" vertical="center" wrapText="1"/>
    </xf>
    <xf numFmtId="0" fontId="2" fillId="30" borderId="15" xfId="43" applyFont="1" applyFill="1" applyBorder="1" applyAlignment="1">
      <alignment horizontal="center" vertical="center" wrapText="1"/>
    </xf>
    <xf numFmtId="168" fontId="44" fillId="31" borderId="10" xfId="44" applyNumberFormat="1" applyFont="1" applyFill="1" applyBorder="1" applyAlignment="1">
      <alignment horizontal="left" wrapText="1"/>
    </xf>
    <xf numFmtId="0" fontId="38" fillId="33" borderId="28" xfId="43" applyFont="1" applyFill="1" applyBorder="1" applyAlignment="1">
      <alignment horizontal="center" vertical="center" textRotation="90"/>
    </xf>
    <xf numFmtId="0" fontId="38" fillId="33" borderId="14" xfId="43" applyFont="1" applyFill="1" applyBorder="1" applyAlignment="1">
      <alignment horizontal="center" vertical="center" textRotation="90"/>
    </xf>
    <xf numFmtId="0" fontId="35" fillId="0" borderId="14" xfId="43" applyBorder="1" applyAlignment="1">
      <alignment horizontal="center" vertical="center" textRotation="90"/>
    </xf>
    <xf numFmtId="0" fontId="35" fillId="0" borderId="15" xfId="43" applyBorder="1" applyAlignment="1">
      <alignment horizontal="center" vertical="center" textRotation="90"/>
    </xf>
    <xf numFmtId="0" fontId="35" fillId="0" borderId="10" xfId="43" applyBorder="1" applyAlignment="1">
      <alignment horizontal="center" vertical="center" wrapText="1"/>
    </xf>
    <xf numFmtId="168" fontId="44" fillId="24" borderId="10" xfId="44" applyNumberFormat="1" applyFont="1" applyFill="1" applyBorder="1" applyAlignment="1">
      <alignment horizontal="left" wrapText="1"/>
    </xf>
    <xf numFmtId="0" fontId="2" fillId="30" borderId="10" xfId="43" applyFont="1" applyFill="1" applyBorder="1" applyAlignment="1">
      <alignment horizontal="center" vertical="center" wrapText="1"/>
    </xf>
    <xf numFmtId="0" fontId="38" fillId="36" borderId="28" xfId="43" applyFont="1" applyFill="1" applyBorder="1" applyAlignment="1">
      <alignment horizontal="center" vertical="center" textRotation="90"/>
    </xf>
    <xf numFmtId="0" fontId="48" fillId="36" borderId="14" xfId="43" applyFont="1" applyFill="1" applyBorder="1" applyAlignment="1">
      <alignment horizontal="center" vertical="center" textRotation="90"/>
    </xf>
    <xf numFmtId="0" fontId="48" fillId="0" borderId="28" xfId="43" applyFont="1" applyBorder="1" applyAlignment="1">
      <alignment horizontal="center" vertical="center" wrapText="1"/>
    </xf>
    <xf numFmtId="0" fontId="48" fillId="0" borderId="14" xfId="43" applyFont="1" applyBorder="1" applyAlignment="1">
      <alignment horizontal="center" vertical="center" wrapText="1"/>
    </xf>
    <xf numFmtId="0" fontId="48" fillId="0" borderId="15" xfId="43" applyFont="1" applyBorder="1" applyAlignment="1">
      <alignment horizontal="center" vertical="center" wrapText="1"/>
    </xf>
    <xf numFmtId="0" fontId="2" fillId="38" borderId="28" xfId="43" applyFont="1" applyFill="1" applyBorder="1" applyAlignment="1">
      <alignment horizontal="center" vertical="center" wrapText="1"/>
    </xf>
    <xf numFmtId="0" fontId="2" fillId="38" borderId="14" xfId="43" applyFont="1" applyFill="1" applyBorder="1" applyAlignment="1">
      <alignment horizontal="center" vertical="center" wrapText="1"/>
    </xf>
    <xf numFmtId="0" fontId="2" fillId="38" borderId="15" xfId="43" applyFont="1" applyFill="1" applyBorder="1" applyAlignment="1">
      <alignment horizontal="center" vertical="center" wrapText="1"/>
    </xf>
    <xf numFmtId="0" fontId="38" fillId="40" borderId="28" xfId="43" applyFont="1" applyFill="1" applyBorder="1" applyAlignment="1">
      <alignment horizontal="center" vertical="center" textRotation="90"/>
    </xf>
    <xf numFmtId="0" fontId="38" fillId="40" borderId="14" xfId="43" applyFont="1" applyFill="1" applyBorder="1" applyAlignment="1">
      <alignment horizontal="center" vertical="center" textRotation="90"/>
    </xf>
    <xf numFmtId="0" fontId="48" fillId="0" borderId="14" xfId="43" applyFont="1" applyBorder="1" applyAlignment="1">
      <alignment horizontal="center" vertical="center" textRotation="90"/>
    </xf>
    <xf numFmtId="0" fontId="48" fillId="0" borderId="15" xfId="43" applyFont="1" applyBorder="1" applyAlignment="1">
      <alignment horizontal="center" vertical="center" textRotation="90"/>
    </xf>
    <xf numFmtId="0" fontId="48" fillId="0" borderId="10" xfId="43" applyFont="1" applyBorder="1" applyAlignment="1">
      <alignment horizontal="center" vertical="center" wrapText="1"/>
    </xf>
    <xf numFmtId="0" fontId="2" fillId="38" borderId="10" xfId="43" applyFont="1" applyFill="1" applyBorder="1" applyAlignment="1">
      <alignment horizontal="center" vertical="center" wrapText="1"/>
    </xf>
    <xf numFmtId="0" fontId="35" fillId="0" borderId="16" xfId="43" applyBorder="1" applyAlignment="1"/>
    <xf numFmtId="0" fontId="38" fillId="33" borderId="10" xfId="43" applyFont="1" applyFill="1" applyBorder="1" applyAlignment="1">
      <alignment horizontal="center" vertical="center" textRotation="90"/>
    </xf>
    <xf numFmtId="0" fontId="35" fillId="0" borderId="10" xfId="43" applyBorder="1" applyAlignment="1">
      <alignment horizontal="center" vertical="center" textRotation="90"/>
    </xf>
    <xf numFmtId="0" fontId="28" fillId="24" borderId="10" xfId="0" applyFont="1" applyFill="1" applyBorder="1" applyAlignment="1" applyProtection="1">
      <alignment horizontal="left"/>
      <protection locked="0"/>
    </xf>
    <xf numFmtId="0" fontId="28" fillId="24" borderId="10" xfId="0" applyFont="1" applyFill="1" applyBorder="1" applyAlignment="1" applyProtection="1">
      <alignment horizontal="left" vertical="center" wrapText="1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24" borderId="19" xfId="0" applyFont="1" applyFill="1" applyBorder="1" applyAlignment="1" applyProtection="1">
      <alignment horizontal="left" vertical="center"/>
      <protection locked="0"/>
    </xf>
    <xf numFmtId="0" fontId="28" fillId="24" borderId="2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 vertical="center"/>
      <protection locked="0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/>
    </xf>
  </cellXfs>
  <cellStyles count="91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 2" xfId="66" xr:uid="{00000000-0005-0000-0000-000006000000}"/>
    <cellStyle name="20% - Akzent2 2" xfId="70" xr:uid="{00000000-0005-0000-0000-000007000000}"/>
    <cellStyle name="20% - Akzent3 2" xfId="74" xr:uid="{00000000-0005-0000-0000-000008000000}"/>
    <cellStyle name="20% - Akzent4 2" xfId="78" xr:uid="{00000000-0005-0000-0000-000009000000}"/>
    <cellStyle name="20% - Akzent5 2" xfId="82" xr:uid="{00000000-0005-0000-0000-00000A000000}"/>
    <cellStyle name="20% - Akzent6 2" xfId="86" xr:uid="{00000000-0005-0000-0000-00000B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 2" xfId="67" xr:uid="{00000000-0005-0000-0000-000012000000}"/>
    <cellStyle name="40% - Akzent2 2" xfId="71" xr:uid="{00000000-0005-0000-0000-000013000000}"/>
    <cellStyle name="40% - Akzent3 2" xfId="75" xr:uid="{00000000-0005-0000-0000-000014000000}"/>
    <cellStyle name="40% - Akzent4 2" xfId="79" xr:uid="{00000000-0005-0000-0000-000015000000}"/>
    <cellStyle name="40% - Akzent5 2" xfId="83" xr:uid="{00000000-0005-0000-0000-000016000000}"/>
    <cellStyle name="40% - Akzent6 2" xfId="87" xr:uid="{00000000-0005-0000-0000-000017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 2" xfId="68" xr:uid="{00000000-0005-0000-0000-00001E000000}"/>
    <cellStyle name="60% - Akzent2 2" xfId="72" xr:uid="{00000000-0005-0000-0000-00001F000000}"/>
    <cellStyle name="60% - Akzent3 2" xfId="76" xr:uid="{00000000-0005-0000-0000-000020000000}"/>
    <cellStyle name="60% - Akzent4 2" xfId="80" xr:uid="{00000000-0005-0000-0000-000021000000}"/>
    <cellStyle name="60% - Akzent5 2" xfId="84" xr:uid="{00000000-0005-0000-0000-000022000000}"/>
    <cellStyle name="60% - Akzent6 2" xfId="88" xr:uid="{00000000-0005-0000-0000-000023000000}"/>
    <cellStyle name="Akzent1" xfId="19" builtinId="29" customBuiltin="1"/>
    <cellStyle name="Akzent1 2" xfId="65" xr:uid="{00000000-0005-0000-0000-000025000000}"/>
    <cellStyle name="Akzent2" xfId="20" builtinId="33" customBuiltin="1"/>
    <cellStyle name="Akzent2 2" xfId="69" xr:uid="{00000000-0005-0000-0000-000027000000}"/>
    <cellStyle name="Akzent3" xfId="21" builtinId="37" customBuiltin="1"/>
    <cellStyle name="Akzent3 2" xfId="73" xr:uid="{00000000-0005-0000-0000-000029000000}"/>
    <cellStyle name="Akzent4" xfId="22" builtinId="41" customBuiltin="1"/>
    <cellStyle name="Akzent4 2" xfId="77" xr:uid="{00000000-0005-0000-0000-00002B000000}"/>
    <cellStyle name="Akzent5" xfId="23" builtinId="45" customBuiltin="1"/>
    <cellStyle name="Akzent5 2" xfId="81" xr:uid="{00000000-0005-0000-0000-00002D000000}"/>
    <cellStyle name="Akzent6" xfId="24" builtinId="49" customBuiltin="1"/>
    <cellStyle name="Akzent6 2" xfId="85" xr:uid="{00000000-0005-0000-0000-00002F000000}"/>
    <cellStyle name="Ausgabe" xfId="25" builtinId="21" customBuiltin="1"/>
    <cellStyle name="Ausgabe 2" xfId="57" xr:uid="{00000000-0005-0000-0000-000031000000}"/>
    <cellStyle name="Berechnung" xfId="26" builtinId="22" customBuiltin="1"/>
    <cellStyle name="Berechnung 2" xfId="58" xr:uid="{00000000-0005-0000-0000-000033000000}"/>
    <cellStyle name="Eingabe" xfId="27" builtinId="20" customBuiltin="1"/>
    <cellStyle name="Eingabe 2" xfId="56" xr:uid="{00000000-0005-0000-0000-000035000000}"/>
    <cellStyle name="Ergebnis" xfId="28" builtinId="25" customBuiltin="1"/>
    <cellStyle name="Ergebnis 2" xfId="64" xr:uid="{00000000-0005-0000-0000-000037000000}"/>
    <cellStyle name="Erklärender Text" xfId="29" builtinId="53" customBuiltin="1"/>
    <cellStyle name="Erklärender Text 2" xfId="63" xr:uid="{00000000-0005-0000-0000-000039000000}"/>
    <cellStyle name="Gut" xfId="30" builtinId="26" customBuiltin="1"/>
    <cellStyle name="Gut 2" xfId="53" xr:uid="{00000000-0005-0000-0000-00003B000000}"/>
    <cellStyle name="Neutral" xfId="31" builtinId="28" customBuiltin="1"/>
    <cellStyle name="Neutral 2" xfId="55" xr:uid="{00000000-0005-0000-0000-00003D000000}"/>
    <cellStyle name="Notiz" xfId="32" builtinId="10" customBuiltin="1"/>
    <cellStyle name="Notiz 2" xfId="62" xr:uid="{00000000-0005-0000-0000-00003F000000}"/>
    <cellStyle name="Prozent 2" xfId="45" xr:uid="{00000000-0005-0000-0000-000041000000}"/>
    <cellStyle name="Prozent 2 2" xfId="89" xr:uid="{00000000-0005-0000-0000-000042000000}"/>
    <cellStyle name="Prozent 3" xfId="90" xr:uid="{00000000-0005-0000-0000-000043000000}"/>
    <cellStyle name="Prozent 4" xfId="47" xr:uid="{00000000-0005-0000-0000-000044000000}"/>
    <cellStyle name="Schlecht" xfId="33" builtinId="27" customBuiltin="1"/>
    <cellStyle name="Schlecht 2" xfId="54" xr:uid="{00000000-0005-0000-0000-000046000000}"/>
    <cellStyle name="Standard" xfId="0" builtinId="0"/>
    <cellStyle name="Standard 2" xfId="42" xr:uid="{00000000-0005-0000-0000-000048000000}"/>
    <cellStyle name="Standard 3" xfId="43" xr:uid="{00000000-0005-0000-0000-000049000000}"/>
    <cellStyle name="Standard 3 2" xfId="44" xr:uid="{00000000-0005-0000-0000-00004A000000}"/>
    <cellStyle name="Standard 4" xfId="46" xr:uid="{00000000-0005-0000-0000-00004B000000}"/>
    <cellStyle name="Überschrift" xfId="34" builtinId="15" customBuiltin="1"/>
    <cellStyle name="Überschrift 1" xfId="35" builtinId="16" customBuiltin="1"/>
    <cellStyle name="Überschrift 1 2" xfId="49" xr:uid="{00000000-0005-0000-0000-00004E000000}"/>
    <cellStyle name="Überschrift 2" xfId="36" builtinId="17" customBuiltin="1"/>
    <cellStyle name="Überschrift 2 2" xfId="50" xr:uid="{00000000-0005-0000-0000-000050000000}"/>
    <cellStyle name="Überschrift 3" xfId="37" builtinId="18" customBuiltin="1"/>
    <cellStyle name="Überschrift 3 2" xfId="51" xr:uid="{00000000-0005-0000-0000-000052000000}"/>
    <cellStyle name="Überschrift 4" xfId="38" builtinId="19" customBuiltin="1"/>
    <cellStyle name="Überschrift 4 2" xfId="52" xr:uid="{00000000-0005-0000-0000-000054000000}"/>
    <cellStyle name="Überschrift 5" xfId="48" xr:uid="{00000000-0005-0000-0000-000055000000}"/>
    <cellStyle name="Verknüpfte Zelle" xfId="39" builtinId="24" customBuiltin="1"/>
    <cellStyle name="Verknüpfte Zelle 2" xfId="59" xr:uid="{00000000-0005-0000-0000-000057000000}"/>
    <cellStyle name="Warnender Text" xfId="40" builtinId="11" customBuiltin="1"/>
    <cellStyle name="Warnender Text 2" xfId="61" xr:uid="{00000000-0005-0000-0000-000059000000}"/>
    <cellStyle name="Zelle überprüfen" xfId="41" builtinId="23" customBuiltin="1"/>
    <cellStyle name="Zelle überprüfen 2" xfId="60" xr:uid="{00000000-0005-0000-0000-00005B000000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C0C0C0"/>
      <color rgb="FFFFFFFF"/>
      <color rgb="FF080808"/>
      <color rgb="FF333333"/>
      <color rgb="FF5EAD35"/>
      <color rgb="FF125D86"/>
      <color rgb="FF005F85"/>
      <color rgb="FF61B931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929417309602144"/>
          <c:y val="0.18205612661881967"/>
          <c:w val="0.8241395936619037"/>
          <c:h val="0.64255944602669912"/>
        </c:manualLayout>
      </c:layout>
      <c:lineChart>
        <c:grouping val="standard"/>
        <c:varyColors val="0"/>
        <c:ser>
          <c:idx val="1"/>
          <c:order val="0"/>
          <c:tx>
            <c:strRef>
              <c:f>'Vorberechn-Verkehr-2011'!$O$42</c:f>
              <c:strCache>
                <c:ptCount val="1"/>
                <c:pt idx="0">
                  <c:v>Tsd.</c:v>
                </c:pt>
              </c:strCache>
            </c:strRef>
          </c:tx>
          <c:spPr>
            <a:ln>
              <a:gradFill flip="none" rotWithShape="1">
                <a:gsLst>
                  <a:gs pos="0">
                    <a:srgbClr val="00B050"/>
                  </a:gs>
                  <a:gs pos="50000">
                    <a:srgbClr val="9CB86E"/>
                  </a:gs>
                  <a:gs pos="100000">
                    <a:srgbClr val="156B13"/>
                  </a:gs>
                </a:gsLst>
                <a:lin ang="5400000" scaled="1"/>
                <a:tileRect/>
              </a:gradFill>
            </a:ln>
          </c:spPr>
          <c:marker>
            <c:symbol val="square"/>
            <c:size val="5"/>
            <c:spPr>
              <a:solidFill>
                <a:srgbClr val="92D05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'Vorberechn-Verkehr-2011'!$P$41:$AB$41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'Vorberechn-Verkehr-2011'!$P$42:$AB$42</c:f>
              <c:numCache>
                <c:formatCode>General</c:formatCode>
                <c:ptCount val="13"/>
                <c:pt idx="0">
                  <c:v>394</c:v>
                </c:pt>
                <c:pt idx="1">
                  <c:v>432</c:v>
                </c:pt>
                <c:pt idx="2">
                  <c:v>466</c:v>
                </c:pt>
                <c:pt idx="3">
                  <c:v>532</c:v>
                </c:pt>
                <c:pt idx="4">
                  <c:v>587</c:v>
                </c:pt>
                <c:pt idx="5">
                  <c:v>616</c:v>
                </c:pt>
                <c:pt idx="6">
                  <c:v>736</c:v>
                </c:pt>
                <c:pt idx="7">
                  <c:v>808</c:v>
                </c:pt>
                <c:pt idx="8">
                  <c:v>901</c:v>
                </c:pt>
                <c:pt idx="9">
                  <c:v>991</c:v>
                </c:pt>
                <c:pt idx="10" formatCode="#,##0">
                  <c:v>1218</c:v>
                </c:pt>
                <c:pt idx="11">
                  <c:v>2394</c:v>
                </c:pt>
                <c:pt idx="12">
                  <c:v>2536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A-4141-9DEE-896919A9AC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735908672"/>
        <c:axId val="-735907040"/>
      </c:lineChart>
      <c:catAx>
        <c:axId val="-735908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ctr">
                  <a:defRPr sz="11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1100" b="0">
                    <a:latin typeface="Arial" pitchFamily="34" charset="0"/>
                    <a:cs typeface="Arial" pitchFamily="34" charset="0"/>
                  </a:rPr>
                  <a:t>Anzahl der Batteriehersteller </a:t>
                </a:r>
                <a:r>
                  <a:rPr lang="en-US" sz="1100" b="0" baseline="0">
                    <a:latin typeface="Arial" pitchFamily="34" charset="0"/>
                    <a:cs typeface="Arial" pitchFamily="34" charset="0"/>
                  </a:rPr>
                  <a:t>im Rücknahmesystem der Stiftung GRS Batterien </a:t>
                </a:r>
              </a:p>
              <a:p>
                <a:pPr algn="ctr">
                  <a:defRPr sz="11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1100" b="0">
                    <a:latin typeface="Arial" pitchFamily="34" charset="0"/>
                    <a:cs typeface="Arial" pitchFamily="34" charset="0"/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0.13897132302906581"/>
              <c:y val="2.5306444932254667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tailEnd type="triangle"/>
          </a:ln>
          <a:effectLst/>
        </c:spPr>
        <c:crossAx val="-7359070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-735907040"/>
        <c:scaling>
          <c:orientation val="minMax"/>
          <c:max val="26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tailEnd type="triangle"/>
          </a:ln>
        </c:spPr>
        <c:crossAx val="-735908672"/>
        <c:crosses val="autoZero"/>
        <c:crossBetween val="between"/>
        <c:majorUnit val="500"/>
      </c:valAx>
      <c:spPr>
        <a:gradFill>
          <a:gsLst>
            <a:gs pos="0">
              <a:srgbClr val="5E9EFF"/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chemeClr val="tx2">
          <a:lumMod val="40000"/>
          <a:lumOff val="60000"/>
        </a:schemeClr>
      </a:solidFill>
    </a:ln>
    <a:effectLst>
      <a:outerShdw blurRad="50800" dist="50800" dir="5400000" algn="ctr" rotWithShape="0">
        <a:schemeClr val="bg2">
          <a:lumMod val="90000"/>
        </a:schemeClr>
      </a:outerShdw>
    </a:effectLst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r>
              <a:rPr lang="en-US" sz="1100" baseline="0">
                <a:latin typeface="Arial" pitchFamily="34" charset="0"/>
                <a:cs typeface="Arial" pitchFamily="34" charset="0"/>
              </a:rPr>
              <a:t>ZnC-Primärbatterien und Li-Ion- Sekundärbatterien: </a:t>
            </a:r>
            <a:r>
              <a:rPr lang="en-US" sz="1100" b="1" i="0" u="none" strike="noStrike" baseline="0">
                <a:latin typeface="Arial" pitchFamily="34" charset="0"/>
                <a:cs typeface="Arial" pitchFamily="34" charset="0"/>
              </a:rPr>
              <a:t>in Verkehr gebrachte Massen </a:t>
            </a:r>
            <a:r>
              <a:rPr lang="en-US" sz="1100" baseline="0">
                <a:latin typeface="Arial" pitchFamily="34" charset="0"/>
                <a:cs typeface="Arial" pitchFamily="34" charset="0"/>
              </a:rPr>
              <a:t>2009 - 2011</a:t>
            </a:r>
            <a:endParaRPr lang="en-US" sz="1100"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9.9646239872190026E-2"/>
          <c:y val="2.81442392260334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104141074437305"/>
          <c:y val="0.22614782650849391"/>
          <c:w val="0.80485651569768613"/>
          <c:h val="0.57562060679090665"/>
        </c:manualLayout>
      </c:layout>
      <c:lineChart>
        <c:grouping val="standard"/>
        <c:varyColors val="0"/>
        <c:ser>
          <c:idx val="0"/>
          <c:order val="0"/>
          <c:tx>
            <c:strRef>
              <c:f>'Vorberechn-Verkehr-2011'!$B$80:$C$80</c:f>
              <c:strCache>
                <c:ptCount val="2"/>
                <c:pt idx="0">
                  <c:v>Primärbatterien</c:v>
                </c:pt>
              </c:strCache>
            </c:strRef>
          </c:tx>
          <c:spPr>
            <a:ln w="38100">
              <a:solidFill>
                <a:srgbClr val="0070C0"/>
              </a:solidFill>
              <a:prstDash val="sysDot"/>
            </a:ln>
          </c:spPr>
          <c:marker>
            <c:spPr>
              <a:solidFill>
                <a:srgbClr val="0070C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'Vorberechn-Verkehr-2011'!$D$79:$F$79</c:f>
              <c:numCache>
                <c:formatCode>General</c:formatCode>
                <c:ptCount val="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</c:numCache>
            </c:numRef>
          </c:cat>
          <c:val>
            <c:numRef>
              <c:f>'Vorberechn-Verkehr-2011'!$D$80:$F$80</c:f>
              <c:numCache>
                <c:formatCode>#,###\ "t"</c:formatCode>
                <c:ptCount val="3"/>
                <c:pt idx="0">
                  <c:v>30362.848000000002</c:v>
                </c:pt>
                <c:pt idx="1">
                  <c:v>32366.971099999999</c:v>
                </c:pt>
                <c:pt idx="2">
                  <c:v>31211.600765999996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C-4A0E-A547-1EA6417D1F12}"/>
            </c:ext>
          </c:extLst>
        </c:ser>
        <c:ser>
          <c:idx val="1"/>
          <c:order val="1"/>
          <c:tx>
            <c:strRef>
              <c:f>'Vorberechn-Verkehr-2011'!$B$81:$C$81</c:f>
              <c:strCache>
                <c:ptCount val="2"/>
                <c:pt idx="0">
                  <c:v>Sekundärbatterien</c:v>
                </c:pt>
              </c:strCache>
            </c:strRef>
          </c:tx>
          <c:spPr>
            <a:ln>
              <a:prstDash val="sysDot"/>
            </a:ln>
          </c:spPr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'Vorberechn-Verkehr-2011'!$D$79:$F$79</c:f>
              <c:numCache>
                <c:formatCode>General</c:formatCode>
                <c:ptCount val="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</c:numCache>
            </c:numRef>
          </c:cat>
          <c:val>
            <c:numRef>
              <c:f>'Vorberechn-Verkehr-2011'!$D$81:$F$81</c:f>
              <c:numCache>
                <c:formatCode>#,###\ "t"</c:formatCode>
                <c:ptCount val="3"/>
                <c:pt idx="0">
                  <c:v>6934.6617999999989</c:v>
                </c:pt>
                <c:pt idx="1">
                  <c:v>10163.898800000003</c:v>
                </c:pt>
                <c:pt idx="2">
                  <c:v>12122.740000000002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C-4A0E-A547-1EA6417D1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35904864"/>
        <c:axId val="-735904320"/>
      </c:lineChart>
      <c:lineChart>
        <c:grouping val="standard"/>
        <c:varyColors val="0"/>
        <c:ser>
          <c:idx val="2"/>
          <c:order val="2"/>
          <c:tx>
            <c:strRef>
              <c:f>'Vorberechn-Verkehr-2011'!$B$83:$C$83</c:f>
              <c:strCache>
                <c:ptCount val="2"/>
                <c:pt idx="0">
                  <c:v>ZnC</c:v>
                </c:pt>
              </c:strCache>
            </c:strRef>
          </c:tx>
          <c:dLbls>
            <c:dLbl>
              <c:idx val="2"/>
              <c:layout>
                <c:manualLayout>
                  <c:x val="-4.3337696598666924E-2"/>
                  <c:y val="3.1670625494853819E-2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DC-4A0E-A547-1EA6417D1F1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'Vorberechn-Verkehr-2011'!$D$79:$F$79</c:f>
              <c:numCache>
                <c:formatCode>General</c:formatCode>
                <c:ptCount val="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</c:numCache>
            </c:numRef>
          </c:cat>
          <c:val>
            <c:numRef>
              <c:f>'Vorberechn-Verkehr-2011'!$D$83:$F$83</c:f>
              <c:numCache>
                <c:formatCode>#,###\ "t"</c:formatCode>
                <c:ptCount val="3"/>
                <c:pt idx="0">
                  <c:v>3217.1933333333336</c:v>
                </c:pt>
                <c:pt idx="1">
                  <c:v>5341.6236666666673</c:v>
                </c:pt>
                <c:pt idx="2">
                  <c:v>5982.2481993333331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DC-4A0E-A547-1EA6417D1F12}"/>
            </c:ext>
          </c:extLst>
        </c:ser>
        <c:ser>
          <c:idx val="3"/>
          <c:order val="3"/>
          <c:tx>
            <c:strRef>
              <c:f>'Vorberechn-Verkehr-2011'!$B$85:$C$85</c:f>
              <c:strCache>
                <c:ptCount val="2"/>
                <c:pt idx="0">
                  <c:v>Li-Ion</c:v>
                </c:pt>
              </c:strCache>
            </c:strRef>
          </c:tx>
          <c:dLbls>
            <c:dLbl>
              <c:idx val="2"/>
              <c:layout>
                <c:manualLayout>
                  <c:x val="-2.0392156862745078E-2"/>
                  <c:y val="-2.7091323347114789E-2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DC-4A0E-A547-1EA6417D1F12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'Vorberechn-Verkehr-2011'!$D$79:$F$79</c:f>
              <c:numCache>
                <c:formatCode>General</c:formatCode>
                <c:ptCount val="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</c:numCache>
            </c:numRef>
          </c:cat>
          <c:val>
            <c:numRef>
              <c:f>'Vorberechn-Verkehr-2011'!$D$85:$F$85</c:f>
              <c:numCache>
                <c:formatCode>#,###\ "t"</c:formatCode>
                <c:ptCount val="3"/>
                <c:pt idx="0">
                  <c:v>3219.8886666666667</c:v>
                </c:pt>
                <c:pt idx="1">
                  <c:v>5386.6658000000007</c:v>
                </c:pt>
                <c:pt idx="2">
                  <c:v>6633.1050000000005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9DC-4A0E-A547-1EA6417D1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3366960"/>
        <c:axId val="-823394784"/>
      </c:lineChart>
      <c:catAx>
        <c:axId val="-73590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735904320"/>
        <c:crosses val="autoZero"/>
        <c:auto val="1"/>
        <c:lblAlgn val="ctr"/>
        <c:lblOffset val="100"/>
        <c:noMultiLvlLbl val="0"/>
      </c:catAx>
      <c:valAx>
        <c:axId val="-735904320"/>
        <c:scaling>
          <c:orientation val="minMax"/>
          <c:max val="35000"/>
          <c:min val="1500"/>
        </c:scaling>
        <c:delete val="0"/>
        <c:axPos val="l"/>
        <c:majorGridlines/>
        <c:numFmt formatCode="#,###\ &quot;t&quot;" sourceLinked="1"/>
        <c:majorTickMark val="none"/>
        <c:minorTickMark val="none"/>
        <c:tickLblPos val="nextTo"/>
        <c:crossAx val="-735904864"/>
        <c:crosses val="autoZero"/>
        <c:crossBetween val="between"/>
      </c:valAx>
      <c:valAx>
        <c:axId val="-823394784"/>
        <c:scaling>
          <c:orientation val="minMax"/>
          <c:min val="2000"/>
        </c:scaling>
        <c:delete val="0"/>
        <c:axPos val="r"/>
        <c:numFmt formatCode="#,###\ &quot;t&quot;" sourceLinked="1"/>
        <c:majorTickMark val="out"/>
        <c:minorTickMark val="none"/>
        <c:tickLblPos val="nextTo"/>
        <c:crossAx val="-693366960"/>
        <c:crosses val="max"/>
        <c:crossBetween val="between"/>
      </c:valAx>
      <c:catAx>
        <c:axId val="-693366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823394784"/>
        <c:crosses val="autoZero"/>
        <c:auto val="1"/>
        <c:lblAlgn val="ctr"/>
        <c:lblOffset val="100"/>
        <c:noMultiLvlLbl val="0"/>
      </c:catAx>
      <c:spPr>
        <a:gradFill>
          <a:gsLst>
            <a:gs pos="0">
              <a:srgbClr val="5E9EFF"/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b"/>
      <c:overlay val="0"/>
      <c:txPr>
        <a:bodyPr/>
        <a:lstStyle/>
        <a:p>
          <a:pPr>
            <a:defRPr sz="1100" baseline="0"/>
          </a:pPr>
          <a:endParaRPr lang="de-DE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r>
              <a:rPr lang="en-US" sz="1100" b="1" i="0" u="none" strike="noStrike" baseline="0">
                <a:latin typeface="Arial" pitchFamily="34" charset="0"/>
                <a:cs typeface="Arial" pitchFamily="34" charset="0"/>
              </a:rPr>
              <a:t>Sekundärbatterien: </a:t>
            </a:r>
            <a:r>
              <a:rPr lang="en-US" sz="1100">
                <a:latin typeface="Arial" pitchFamily="34" charset="0"/>
                <a:cs typeface="Arial" pitchFamily="34" charset="0"/>
              </a:rPr>
              <a:t>in Verkehr gebrachte</a:t>
            </a:r>
            <a:r>
              <a:rPr lang="en-US" sz="1100" baseline="0">
                <a:latin typeface="Arial" pitchFamily="34" charset="0"/>
                <a:cs typeface="Arial" pitchFamily="34" charset="0"/>
              </a:rPr>
              <a:t> Massen  2009 - 2011</a:t>
            </a:r>
            <a:endParaRPr lang="en-US" sz="1100"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9.1308643964261527E-2"/>
          <c:y val="1.94333255512873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991112364151507E-2"/>
          <c:y val="0.12288416778091422"/>
          <c:w val="0.66449993622920711"/>
          <c:h val="0.77630126422876766"/>
        </c:manualLayout>
      </c:layout>
      <c:lineChart>
        <c:grouping val="standard"/>
        <c:varyColors val="0"/>
        <c:ser>
          <c:idx val="0"/>
          <c:order val="0"/>
          <c:tx>
            <c:strRef>
              <c:f>'Vorberechn-Verkehr-2011'!$B$81:$C$81</c:f>
              <c:strCache>
                <c:ptCount val="2"/>
                <c:pt idx="0">
                  <c:v>Sekundärbatterien</c:v>
                </c:pt>
              </c:strCache>
            </c:strRef>
          </c:tx>
          <c:spPr>
            <a:ln w="38100">
              <a:gradFill>
                <a:gsLst>
                  <a:gs pos="0">
                    <a:srgbClr val="000082"/>
                  </a:gs>
                  <a:gs pos="13000">
                    <a:srgbClr val="0047FF"/>
                  </a:gs>
                  <a:gs pos="28000">
                    <a:srgbClr val="000082"/>
                  </a:gs>
                  <a:gs pos="42999">
                    <a:srgbClr val="0047FF"/>
                  </a:gs>
                  <a:gs pos="58000">
                    <a:srgbClr val="000082"/>
                  </a:gs>
                  <a:gs pos="72000">
                    <a:srgbClr val="0047FF"/>
                  </a:gs>
                  <a:gs pos="87000">
                    <a:srgbClr val="000082"/>
                  </a:gs>
                  <a:gs pos="100000">
                    <a:srgbClr val="0047FF"/>
                  </a:gs>
                </a:gsLst>
                <a:lin ang="5400000" scaled="0"/>
              </a:gradFill>
            </a:ln>
          </c:spPr>
          <c:marker>
            <c:spPr>
              <a:solidFill>
                <a:schemeClr val="accent6">
                  <a:lumMod val="75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'Vorberechn-Verkehr-2011'!$D$79:$F$79</c:f>
              <c:numCache>
                <c:formatCode>General</c:formatCode>
                <c:ptCount val="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</c:numCache>
            </c:numRef>
          </c:cat>
          <c:val>
            <c:numRef>
              <c:f>'Vorberechn-Verkehr-2011'!$D$81:$F$81</c:f>
              <c:numCache>
                <c:formatCode>#,###\ "t"</c:formatCode>
                <c:ptCount val="3"/>
                <c:pt idx="0">
                  <c:v>6934.6617999999989</c:v>
                </c:pt>
                <c:pt idx="1">
                  <c:v>10163.898800000003</c:v>
                </c:pt>
                <c:pt idx="2">
                  <c:v>12122.740000000002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C-4C97-8A13-444588B33A03}"/>
            </c:ext>
          </c:extLst>
        </c:ser>
        <c:ser>
          <c:idx val="2"/>
          <c:order val="1"/>
          <c:tx>
            <c:strRef>
              <c:f>'Vorberechn-Verkehr-2011'!$B$85:$C$85</c:f>
              <c:strCache>
                <c:ptCount val="2"/>
                <c:pt idx="0">
                  <c:v>Li-Ion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'Vorberechn-Verkehr-2011'!$D$79:$F$79</c:f>
              <c:numCache>
                <c:formatCode>General</c:formatCode>
                <c:ptCount val="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</c:numCache>
            </c:numRef>
          </c:cat>
          <c:val>
            <c:numRef>
              <c:f>'Vorberechn-Verkehr-2011'!$D$85:$F$85</c:f>
              <c:numCache>
                <c:formatCode>#,###\ "t"</c:formatCode>
                <c:ptCount val="3"/>
                <c:pt idx="0">
                  <c:v>3219.8886666666667</c:v>
                </c:pt>
                <c:pt idx="1">
                  <c:v>5386.6658000000007</c:v>
                </c:pt>
                <c:pt idx="2">
                  <c:v>6633.1050000000005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C-4C97-8A13-444588B33A03}"/>
            </c:ext>
          </c:extLst>
        </c:ser>
        <c:ser>
          <c:idx val="3"/>
          <c:order val="2"/>
          <c:tx>
            <c:strRef>
              <c:f>'Vorberechn-Verkehr-2011'!$B$86:$C$86</c:f>
              <c:strCache>
                <c:ptCount val="2"/>
                <c:pt idx="0">
                  <c:v>NiMH</c:v>
                </c:pt>
              </c:strCache>
            </c:strRef>
          </c:tx>
          <c:dLbls>
            <c:dLbl>
              <c:idx val="0"/>
              <c:layout>
                <c:manualLayout>
                  <c:x val="-3.5307006061582449E-2"/>
                  <c:y val="-3.9901238760249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6C-4C97-8A13-444588B33A03}"/>
                </c:ext>
              </c:extLst>
            </c:dLbl>
            <c:dLbl>
              <c:idx val="1"/>
              <c:layout>
                <c:manualLayout>
                  <c:x val="-4.0422095575648964E-2"/>
                  <c:y val="-3.9901238760249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6C-4C97-8A13-444588B33A03}"/>
                </c:ext>
              </c:extLst>
            </c:dLbl>
            <c:dLbl>
              <c:idx val="2"/>
              <c:layout>
                <c:manualLayout>
                  <c:x val="-3.8717065737626795E-2"/>
                  <c:y val="-3.9901238760249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6C-4C97-8A13-444588B33A03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'Vorberechn-Verkehr-2011'!$D$79:$F$79</c:f>
              <c:numCache>
                <c:formatCode>General</c:formatCode>
                <c:ptCount val="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</c:numCache>
            </c:numRef>
          </c:cat>
          <c:val>
            <c:numRef>
              <c:f>'Vorberechn-Verkehr-2011'!$D$86:$F$86</c:f>
              <c:numCache>
                <c:formatCode>#,###\ "t"</c:formatCode>
                <c:ptCount val="3"/>
                <c:pt idx="0">
                  <c:v>2041.3124666666668</c:v>
                </c:pt>
                <c:pt idx="1">
                  <c:v>2741.7939999999999</c:v>
                </c:pt>
                <c:pt idx="2">
                  <c:v>3137.6430000000005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6C-4C97-8A13-444588B33A03}"/>
            </c:ext>
          </c:extLst>
        </c:ser>
        <c:ser>
          <c:idx val="4"/>
          <c:order val="3"/>
          <c:tx>
            <c:strRef>
              <c:f>'Vorberechn-Verkehr-2011'!$B$87:$C$87</c:f>
              <c:strCache>
                <c:ptCount val="2"/>
                <c:pt idx="0">
                  <c:v>NiCd</c:v>
                </c:pt>
              </c:strCache>
            </c:strRef>
          </c:tx>
          <c:dLbls>
            <c:dLbl>
              <c:idx val="0"/>
              <c:layout>
                <c:manualLayout>
                  <c:x val="-3.0383631713555001E-2"/>
                  <c:y val="-3.5938903863432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6C-4C97-8A13-444588B33A03}"/>
                </c:ext>
              </c:extLst>
            </c:dLbl>
            <c:dLbl>
              <c:idx val="1"/>
              <c:layout>
                <c:manualLayout>
                  <c:x val="-4.3333400460492312E-2"/>
                  <c:y val="-2.8751123090745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6C-4C97-8A13-444588B33A03}"/>
                </c:ext>
              </c:extLst>
            </c:dLbl>
            <c:dLbl>
              <c:idx val="2"/>
              <c:layout>
                <c:manualLayout>
                  <c:x val="-6.038369884071465E-2"/>
                  <c:y val="-2.1563342318059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6C-4C97-8A13-444588B33A03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'Vorberechn-Verkehr-2011'!$D$79:$F$79</c:f>
              <c:numCache>
                <c:formatCode>General</c:formatCode>
                <c:ptCount val="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</c:numCache>
            </c:numRef>
          </c:cat>
          <c:val>
            <c:numRef>
              <c:f>'Vorberechn-Verkehr-2011'!$D$87:$F$87</c:f>
              <c:numCache>
                <c:formatCode>#,###\ "t"</c:formatCode>
                <c:ptCount val="3"/>
                <c:pt idx="0">
                  <c:v>803.45966666666664</c:v>
                </c:pt>
                <c:pt idx="1">
                  <c:v>1191.1289999999999</c:v>
                </c:pt>
                <c:pt idx="2">
                  <c:v>1335.867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56C-4C97-8A13-444588B33A03}"/>
            </c:ext>
          </c:extLst>
        </c:ser>
        <c:ser>
          <c:idx val="1"/>
          <c:order val="4"/>
          <c:tx>
            <c:strRef>
              <c:f>'Vorberechn-Verkehr-2011'!$B$88:$C$88</c:f>
              <c:strCache>
                <c:ptCount val="2"/>
                <c:pt idx="0">
                  <c:v>Pb</c:v>
                </c:pt>
              </c:strCache>
            </c:strRef>
          </c:tx>
          <c:dLbls>
            <c:dLbl>
              <c:idx val="0"/>
              <c:layout>
                <c:manualLayout>
                  <c:x val="-2.8832054560954841E-2"/>
                  <c:y val="2.15633423180595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6C-4C97-8A13-444588B33A03}"/>
                </c:ext>
              </c:extLst>
            </c:dLbl>
            <c:dLbl>
              <c:idx val="1"/>
              <c:layout>
                <c:manualLayout>
                  <c:x val="-3.2242114236999152E-2"/>
                  <c:y val="1.7969451931716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6C-4C97-8A13-444588B33A03}"/>
                </c:ext>
              </c:extLst>
            </c:dLbl>
            <c:dLbl>
              <c:idx val="2"/>
              <c:layout>
                <c:manualLayout>
                  <c:x val="-3.3947144075021411E-2"/>
                  <c:y val="2.15633423180595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56C-4C97-8A13-444588B33A0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'Vorberechn-Verkehr-2011'!$D$79:$F$79</c:f>
              <c:numCache>
                <c:formatCode>General</c:formatCode>
                <c:ptCount val="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</c:numCache>
            </c:numRef>
          </c:cat>
          <c:val>
            <c:numRef>
              <c:f>'Vorberechn-Verkehr-2011'!$D$88:$F$88</c:f>
              <c:numCache>
                <c:formatCode>#,###\ "t"</c:formatCode>
                <c:ptCount val="3"/>
                <c:pt idx="0">
                  <c:v>852.00099999999998</c:v>
                </c:pt>
                <c:pt idx="1">
                  <c:v>811.90600000000006</c:v>
                </c:pt>
                <c:pt idx="2">
                  <c:v>990.47599999999989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56C-4C97-8A13-444588B33A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693367504"/>
        <c:axId val="-693369680"/>
      </c:lineChart>
      <c:catAx>
        <c:axId val="-69336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693369680"/>
        <c:crosses val="autoZero"/>
        <c:auto val="1"/>
        <c:lblAlgn val="ctr"/>
        <c:lblOffset val="100"/>
        <c:noMultiLvlLbl val="0"/>
      </c:catAx>
      <c:valAx>
        <c:axId val="-693369680"/>
        <c:scaling>
          <c:orientation val="minMax"/>
        </c:scaling>
        <c:delete val="0"/>
        <c:axPos val="l"/>
        <c:majorGridlines/>
        <c:numFmt formatCode="#,###\ &quot;t&quot;" sourceLinked="1"/>
        <c:majorTickMark val="none"/>
        <c:minorTickMark val="none"/>
        <c:tickLblPos val="nextTo"/>
        <c:crossAx val="-693367504"/>
        <c:crosses val="autoZero"/>
        <c:crossBetween val="between"/>
      </c:valAx>
      <c:spPr>
        <a:gradFill>
          <a:gsLst>
            <a:gs pos="0">
              <a:srgbClr val="5E9EFF"/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>
        <c:manualLayout>
          <c:xMode val="edge"/>
          <c:yMode val="edge"/>
          <c:x val="0.76490189365716188"/>
          <c:y val="0.37643370050441832"/>
          <c:w val="0.22486792731471217"/>
          <c:h val="0.32494004287199951"/>
        </c:manualLayout>
      </c:layout>
      <c:overlay val="0"/>
      <c:txPr>
        <a:bodyPr/>
        <a:lstStyle/>
        <a:p>
          <a:pPr>
            <a:defRPr sz="1000"/>
          </a:pPr>
          <a:endParaRPr lang="de-DE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200" b="1" i="0" baseline="0">
                <a:latin typeface="Arial" pitchFamily="34" charset="0"/>
                <a:cs typeface="Arial" pitchFamily="34" charset="0"/>
              </a:rPr>
              <a:t>Der Anteil der chemischen Batteriesysteme am Gesamtvolumen der 43.334 t in Verkehr gebrachten Gerätebatterien 2011</a:t>
            </a:r>
            <a:endParaRPr lang="en-US" sz="1200" b="1" i="0" baseline="0"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10930345245305879"/>
          <c:y val="3.661327231121305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0277676828857925E-2"/>
          <c:y val="0.32346288521715533"/>
          <c:w val="0.95876088565852702"/>
          <c:h val="0.5907649987687435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847F-4B93-BE48-5135F6FC837A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47F-4B93-BE48-5135F6FC837A}"/>
              </c:ext>
            </c:extLst>
          </c:dPt>
          <c:dPt>
            <c:idx val="3"/>
            <c:bubble3D val="0"/>
            <c:explosion val="27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847F-4B93-BE48-5135F6FC837A}"/>
              </c:ext>
            </c:extLst>
          </c:dPt>
          <c:dPt>
            <c:idx val="4"/>
            <c:bubble3D val="0"/>
            <c:explosion val="29"/>
            <c:extLst>
              <c:ext xmlns:c16="http://schemas.microsoft.com/office/drawing/2014/chart" uri="{C3380CC4-5D6E-409C-BE32-E72D297353CC}">
                <c16:uniqueId val="{00000006-847F-4B93-BE48-5135F6FC837A}"/>
              </c:ext>
            </c:extLst>
          </c:dPt>
          <c:dPt>
            <c:idx val="5"/>
            <c:bubble3D val="0"/>
            <c:explosion val="28"/>
            <c:extLst>
              <c:ext xmlns:c16="http://schemas.microsoft.com/office/drawing/2014/chart" uri="{C3380CC4-5D6E-409C-BE32-E72D297353CC}">
                <c16:uniqueId val="{00000007-847F-4B93-BE48-5135F6FC837A}"/>
              </c:ext>
            </c:extLst>
          </c:dPt>
          <c:dPt>
            <c:idx val="6"/>
            <c:bubble3D val="0"/>
            <c:explosion val="29"/>
            <c:extLst>
              <c:ext xmlns:c16="http://schemas.microsoft.com/office/drawing/2014/chart" uri="{C3380CC4-5D6E-409C-BE32-E72D297353CC}">
                <c16:uniqueId val="{00000008-847F-4B93-BE48-5135F6FC837A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r>
                      <a:rPr lang="en-US" sz="1000"/>
                      <a:t>S</a:t>
                    </a:r>
                    <a:r>
                      <a:rPr lang="en-US"/>
                      <a:t>onstige Primärbatterien 3 %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7F-4B93-BE48-5135F6FC837A}"/>
                </c:ext>
              </c:extLst>
            </c:dLbl>
            <c:dLbl>
              <c:idx val="4"/>
              <c:layout>
                <c:manualLayout>
                  <c:x val="-2.2222222222222251E-2"/>
                  <c:y val="1.519426776458433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7F-4B93-BE48-5135F6FC837A}"/>
                </c:ext>
              </c:extLst>
            </c:dLbl>
            <c:dLbl>
              <c:idx val="5"/>
              <c:layout>
                <c:manualLayout>
                  <c:x val="-1.7094017094017103E-2"/>
                  <c:y val="-1.67504143419422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7F-4B93-BE48-5135F6FC837A}"/>
                </c:ext>
              </c:extLst>
            </c:dLbl>
            <c:dLbl>
              <c:idx val="6"/>
              <c:layout>
                <c:manualLayout>
                  <c:x val="5.9829059829059825E-2"/>
                  <c:y val="-5.85077208598358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7F-4B93-BE48-5135F6FC83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('Vorberechn-Verkehr-2011'!$B$115:$B$117,'Vorberechn-Verkehr-2011'!$B$120:$B$123)</c:f>
              <c:strCache>
                <c:ptCount val="7"/>
                <c:pt idx="0">
                  <c:v> Alkali-Mangan</c:v>
                </c:pt>
                <c:pt idx="1">
                  <c:v> Zink-Kohle</c:v>
                </c:pt>
                <c:pt idx="3">
                  <c:v>Li-Ion </c:v>
                </c:pt>
                <c:pt idx="4">
                  <c:v>Nickel-Metallhydrid</c:v>
                </c:pt>
                <c:pt idx="5">
                  <c:v>Nickel-Cadmium</c:v>
                </c:pt>
                <c:pt idx="6">
                  <c:v>Blei-Säure</c:v>
                </c:pt>
              </c:strCache>
            </c:strRef>
          </c:cat>
          <c:val>
            <c:numRef>
              <c:f>('Vorberechn-Verkehr-2011'!$C$115:$C$117,'Vorberechn-Verkehr-2011'!$C$120:$C$123)</c:f>
              <c:numCache>
                <c:formatCode>#,##0.00</c:formatCode>
                <c:ptCount val="7"/>
                <c:pt idx="0">
                  <c:v>55.757424495749703</c:v>
                </c:pt>
                <c:pt idx="1">
                  <c:v>13.804867210595688</c:v>
                </c:pt>
                <c:pt idx="2">
                  <c:v>2.6403639739959011</c:v>
                </c:pt>
                <c:pt idx="3">
                  <c:v>15.270734209927225</c:v>
                </c:pt>
                <c:pt idx="4">
                  <c:v>7.2194660047871766</c:v>
                </c:pt>
                <c:pt idx="5">
                  <c:v>3.0798507059490094</c:v>
                </c:pt>
                <c:pt idx="6">
                  <c:v>2.2856607080939484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47F-4B93-BE48-5135F6FC837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60198234403531"/>
          <c:y val="8.2966351302020624E-2"/>
          <c:w val="0.85753552658809784"/>
          <c:h val="0.67756586693630616"/>
        </c:manualLayout>
      </c:layout>
      <c:lineChart>
        <c:grouping val="standar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Primärbatterien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dLbls>
            <c:dLbl>
              <c:idx val="5"/>
              <c:layout>
                <c:manualLayout>
                  <c:x val="-3.8720807641928374E-2"/>
                  <c:y val="-3.12675987203222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17-4136-9E34-747A6060547A}"/>
                </c:ext>
              </c:extLst>
            </c:dLbl>
            <c:dLbl>
              <c:idx val="8"/>
              <c:layout>
                <c:manualLayout>
                  <c:x val="-3.8756806479678801E-2"/>
                  <c:y val="-3.4537254042463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6-4069-81C9-BEF71FA41BD7}"/>
                </c:ext>
              </c:extLst>
            </c:dLbl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Daten!$B$10:$B$18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Daten!$C$10:$C$18</c:f>
              <c:numCache>
                <c:formatCode>#,##0</c:formatCode>
                <c:ptCount val="9"/>
                <c:pt idx="0">
                  <c:v>32734</c:v>
                </c:pt>
                <c:pt idx="1">
                  <c:v>33102</c:v>
                </c:pt>
                <c:pt idx="2">
                  <c:v>34459</c:v>
                </c:pt>
                <c:pt idx="3">
                  <c:v>37124</c:v>
                </c:pt>
                <c:pt idx="4">
                  <c:v>38547</c:v>
                </c:pt>
                <c:pt idx="5">
                  <c:v>46619</c:v>
                </c:pt>
                <c:pt idx="6">
                  <c:v>42454</c:v>
                </c:pt>
                <c:pt idx="7">
                  <c:v>41794</c:v>
                </c:pt>
                <c:pt idx="8">
                  <c:v>35396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6-4069-81C9-BEF71FA41BD7}"/>
            </c:ext>
          </c:extLst>
        </c:ser>
        <c:ser>
          <c:idx val="2"/>
          <c:order val="1"/>
          <c:tx>
            <c:strRef>
              <c:f>Daten!$D$9</c:f>
              <c:strCache>
                <c:ptCount val="1"/>
                <c:pt idx="0">
                  <c:v>Sekundärbatterien (Akkus)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Daten!$B$10:$B$18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Daten!$D$10:$D$18</c:f>
              <c:numCache>
                <c:formatCode>#,##0</c:formatCode>
                <c:ptCount val="9"/>
                <c:pt idx="0">
                  <c:v>11167</c:v>
                </c:pt>
                <c:pt idx="1">
                  <c:v>12409</c:v>
                </c:pt>
                <c:pt idx="2">
                  <c:v>16184</c:v>
                </c:pt>
                <c:pt idx="3">
                  <c:v>15035</c:v>
                </c:pt>
                <c:pt idx="4">
                  <c:v>17359</c:v>
                </c:pt>
                <c:pt idx="5">
                  <c:v>18749</c:v>
                </c:pt>
                <c:pt idx="6">
                  <c:v>20756</c:v>
                </c:pt>
                <c:pt idx="7">
                  <c:v>21340</c:v>
                </c:pt>
                <c:pt idx="8">
                  <c:v>19801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56-4069-81C9-BEF71FA41BD7}"/>
            </c:ext>
          </c:extLst>
        </c:ser>
        <c:ser>
          <c:idx val="3"/>
          <c:order val="2"/>
          <c:tx>
            <c:strRef>
              <c:f>Daten!$E$9</c:f>
              <c:strCache>
                <c:ptCount val="1"/>
                <c:pt idx="0">
                  <c:v>AlMn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marker>
            <c:spPr>
              <a:ln>
                <a:solidFill>
                  <a:schemeClr val="bg1"/>
                </a:solidFill>
              </a:ln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Daten!$B$10:$B$18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Daten!$E$10:$E$18</c:f>
              <c:numCache>
                <c:formatCode>#,##0</c:formatCode>
                <c:ptCount val="9"/>
                <c:pt idx="0">
                  <c:v>26662</c:v>
                </c:pt>
                <c:pt idx="1">
                  <c:v>27195</c:v>
                </c:pt>
                <c:pt idx="2">
                  <c:v>28773</c:v>
                </c:pt>
                <c:pt idx="3">
                  <c:v>29411</c:v>
                </c:pt>
                <c:pt idx="4">
                  <c:v>32146</c:v>
                </c:pt>
                <c:pt idx="5">
                  <c:v>38390</c:v>
                </c:pt>
                <c:pt idx="6">
                  <c:v>36665</c:v>
                </c:pt>
                <c:pt idx="7">
                  <c:v>35744</c:v>
                </c:pt>
                <c:pt idx="8">
                  <c:v>29240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56-4069-81C9-BEF71FA41BD7}"/>
            </c:ext>
          </c:extLst>
        </c:ser>
        <c:ser>
          <c:idx val="0"/>
          <c:order val="3"/>
          <c:tx>
            <c:strRef>
              <c:f>Daten!$F$9</c:f>
              <c:strCache>
                <c:ptCount val="1"/>
                <c:pt idx="0">
                  <c:v>ZnC</c:v>
                </c:pt>
              </c:strCache>
            </c:strRef>
          </c:tx>
          <c:dLbls>
            <c:dLbl>
              <c:idx val="0"/>
              <c:layout>
                <c:manualLayout>
                  <c:x val="-3.4748346974793412E-2"/>
                  <c:y val="-2.8194656246344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56-4069-81C9-BEF71FA41BD7}"/>
                </c:ext>
              </c:extLst>
            </c:dLbl>
            <c:dLbl>
              <c:idx val="1"/>
              <c:layout>
                <c:manualLayout>
                  <c:x val="-3.4755538701099577E-2"/>
                  <c:y val="-2.8080565131323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41-4379-9232-908D567AE4F7}"/>
                </c:ext>
              </c:extLst>
            </c:dLbl>
            <c:dLbl>
              <c:idx val="2"/>
              <c:layout>
                <c:manualLayout>
                  <c:x val="-3.2999097853255867E-2"/>
                  <c:y val="-5.3353073749513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09-45EE-ADA1-DFA18817229A}"/>
                </c:ext>
              </c:extLst>
            </c:dLbl>
            <c:dLbl>
              <c:idx val="3"/>
              <c:layout>
                <c:manualLayout>
                  <c:x val="-3.2999097853255999E-2"/>
                  <c:y val="-4.7736960723249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09-45EE-ADA1-DFA18817229A}"/>
                </c:ext>
              </c:extLst>
            </c:dLbl>
            <c:dLbl>
              <c:idx val="4"/>
              <c:layout>
                <c:manualLayout>
                  <c:x val="-3.2991906126949737E-2"/>
                  <c:y val="-5.06210779797294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56-4069-81C9-BEF71FA41BD7}"/>
                </c:ext>
              </c:extLst>
            </c:dLbl>
            <c:dLbl>
              <c:idx val="5"/>
              <c:layout>
                <c:manualLayout>
                  <c:x val="-3.2991906126949862E-2"/>
                  <c:y val="-3.9655064528917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56-4069-81C9-BEF71FA41BD7}"/>
                </c:ext>
              </c:extLst>
            </c:dLbl>
            <c:dLbl>
              <c:idx val="6"/>
              <c:layout>
                <c:manualLayout>
                  <c:x val="-3.2991906126949737E-2"/>
                  <c:y val="-4.5347238298530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56-4069-81C9-BEF71FA41BD7}"/>
                </c:ext>
              </c:extLst>
            </c:dLbl>
            <c:dLbl>
              <c:idx val="7"/>
              <c:layout>
                <c:manualLayout>
                  <c:x val="-3.3031598924062551E-2"/>
                  <c:y val="-5.1191754661650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56-4069-81C9-BEF71FA41BD7}"/>
                </c:ext>
              </c:extLst>
            </c:dLbl>
            <c:dLbl>
              <c:idx val="8"/>
              <c:layout>
                <c:manualLayout>
                  <c:x val="-2.6007356859406444E-2"/>
                  <c:y val="-4.561367200705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56-4069-81C9-BEF71FA41BD7}"/>
                </c:ext>
              </c:extLst>
            </c:dLbl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Daten!$B$10:$B$18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Daten!$F$10:$F$18</c:f>
              <c:numCache>
                <c:formatCode>#,##0</c:formatCode>
                <c:ptCount val="9"/>
                <c:pt idx="0">
                  <c:v>4339</c:v>
                </c:pt>
                <c:pt idx="1">
                  <c:v>4221</c:v>
                </c:pt>
                <c:pt idx="2">
                  <c:v>3559</c:v>
                </c:pt>
                <c:pt idx="3">
                  <c:v>4173</c:v>
                </c:pt>
                <c:pt idx="4">
                  <c:v>4339</c:v>
                </c:pt>
                <c:pt idx="5">
                  <c:v>5275</c:v>
                </c:pt>
                <c:pt idx="6">
                  <c:v>3603</c:v>
                </c:pt>
                <c:pt idx="7">
                  <c:v>3993</c:v>
                </c:pt>
                <c:pt idx="8">
                  <c:v>3471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F56-4069-81C9-BEF71FA41BD7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Lithium-Primär
(nicht wiederaufladbar)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8"/>
              <c:layout>
                <c:manualLayout>
                  <c:x val="-2.9513738340932488E-2"/>
                  <c:y val="1.70004605654896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F56-4069-81C9-BEF71FA41BD7}"/>
                </c:ext>
              </c:extLst>
            </c:dLbl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Daten!$B$10:$B$18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Daten!$G$10:$G$18</c:f>
              <c:numCache>
                <c:formatCode>#,##0</c:formatCode>
                <c:ptCount val="9"/>
                <c:pt idx="0">
                  <c:v>1237</c:v>
                </c:pt>
                <c:pt idx="1">
                  <c:v>1193</c:v>
                </c:pt>
                <c:pt idx="2">
                  <c:v>1545</c:v>
                </c:pt>
                <c:pt idx="3">
                  <c:v>1276</c:v>
                </c:pt>
                <c:pt idx="4">
                  <c:v>1320</c:v>
                </c:pt>
                <c:pt idx="5">
                  <c:v>2253</c:v>
                </c:pt>
                <c:pt idx="6">
                  <c:v>1569</c:v>
                </c:pt>
                <c:pt idx="7">
                  <c:v>1756</c:v>
                </c:pt>
                <c:pt idx="8">
                  <c:v>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F56-4069-81C9-BEF71FA41BD7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NiMH</c:v>
                </c:pt>
              </c:strCache>
            </c:strRef>
          </c:tx>
          <c:dLbls>
            <c:dLbl>
              <c:idx val="0"/>
              <c:layout>
                <c:manualLayout>
                  <c:x val="-6.4615033114442097E-2"/>
                  <c:y val="-1.12322260525292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41-4379-9232-908D567AE4F7}"/>
                </c:ext>
              </c:extLst>
            </c:dLbl>
            <c:dLbl>
              <c:idx val="1"/>
              <c:layout>
                <c:manualLayout>
                  <c:x val="-3.4755538701099577E-2"/>
                  <c:y val="-1.12322260525292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41-4379-9232-908D567AE4F7}"/>
                </c:ext>
              </c:extLst>
            </c:dLbl>
            <c:dLbl>
              <c:idx val="2"/>
              <c:layout>
                <c:manualLayout>
                  <c:x val="-3.2959681661001175E-2"/>
                  <c:y val="-2.8080565131323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F56-4069-81C9-BEF71FA41BD7}"/>
                </c:ext>
              </c:extLst>
            </c:dLbl>
            <c:dLbl>
              <c:idx val="3"/>
              <c:layout>
                <c:manualLayout>
                  <c:x val="-3.4755538701099611E-2"/>
                  <c:y val="-3.3696678157587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41-4379-9232-908D567AE4F7}"/>
                </c:ext>
              </c:extLst>
            </c:dLbl>
            <c:dLbl>
              <c:idx val="4"/>
              <c:layout>
                <c:manualLayout>
                  <c:x val="-3.2999097853255867E-2"/>
                  <c:y val="-3.0888621644455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09-45EE-ADA1-DFA18817229A}"/>
                </c:ext>
              </c:extLst>
            </c:dLbl>
            <c:dLbl>
              <c:idx val="5"/>
              <c:layout>
                <c:manualLayout>
                  <c:x val="-3.2735355121221388E-2"/>
                  <c:y val="-3.3772738900935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F56-4069-81C9-BEF71FA41BD7}"/>
                </c:ext>
              </c:extLst>
            </c:dLbl>
            <c:dLbl>
              <c:idx val="6"/>
              <c:layout>
                <c:manualLayout>
                  <c:x val="-4.6289822974275238E-3"/>
                  <c:y val="-3.1116803874498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F56-4069-81C9-BEF71FA41BD7}"/>
                </c:ext>
              </c:extLst>
            </c:dLbl>
            <c:dLbl>
              <c:idx val="7"/>
              <c:layout>
                <c:manualLayout>
                  <c:x val="-2.5709591729846673E-2"/>
                  <c:y val="-2.27306647067758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F56-4069-81C9-BEF71FA41BD7}"/>
                </c:ext>
              </c:extLst>
            </c:dLbl>
            <c:dLbl>
              <c:idx val="8"/>
              <c:layout>
                <c:manualLayout>
                  <c:x val="-2.2188550190850437E-2"/>
                  <c:y val="-1.7038490937163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F56-4069-81C9-BEF71FA41BD7}"/>
                </c:ext>
              </c:extLst>
            </c:dLbl>
            <c:spPr>
              <a:solidFill>
                <a:srgbClr val="00B0F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Daten!$B$10:$B$18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Daten!$H$10:$H$18</c:f>
              <c:numCache>
                <c:formatCode>#,##0</c:formatCode>
                <c:ptCount val="9"/>
                <c:pt idx="0">
                  <c:v>2581</c:v>
                </c:pt>
                <c:pt idx="1">
                  <c:v>2103</c:v>
                </c:pt>
                <c:pt idx="2">
                  <c:v>2616</c:v>
                </c:pt>
                <c:pt idx="3">
                  <c:v>2351</c:v>
                </c:pt>
                <c:pt idx="4">
                  <c:v>2180</c:v>
                </c:pt>
                <c:pt idx="5">
                  <c:v>2448</c:v>
                </c:pt>
                <c:pt idx="6">
                  <c:v>1980</c:v>
                </c:pt>
                <c:pt idx="7">
                  <c:v>1927</c:v>
                </c:pt>
                <c:pt idx="8">
                  <c:v>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F56-4069-81C9-BEF71FA41BD7}"/>
            </c:ext>
          </c:extLst>
        </c:ser>
        <c:ser>
          <c:idx val="6"/>
          <c:order val="6"/>
          <c:tx>
            <c:strRef>
              <c:f>Daten!$I$9</c:f>
              <c:strCache>
                <c:ptCount val="1"/>
                <c:pt idx="0">
                  <c:v>Li-Ion
(wiederaufladbar)</c:v>
                </c:pt>
              </c:strCache>
            </c:strRef>
          </c:tx>
          <c:spPr>
            <a:ln>
              <a:solidFill>
                <a:srgbClr val="C0C0C0"/>
              </a:solidFill>
            </a:ln>
          </c:spPr>
          <c:marker>
            <c:spPr>
              <a:solidFill>
                <a:srgbClr val="C0C0C0"/>
              </a:solidFill>
            </c:spPr>
          </c:marker>
          <c:dLbls>
            <c:dLbl>
              <c:idx val="0"/>
              <c:layout>
                <c:manualLayout>
                  <c:x val="-3.2735355121221388E-2"/>
                  <c:y val="-3.39708506045391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F56-4069-81C9-BEF71FA41BD7}"/>
                </c:ext>
              </c:extLst>
            </c:dLbl>
            <c:dLbl>
              <c:idx val="1"/>
              <c:layout>
                <c:manualLayout>
                  <c:x val="-3.4716122508844788E-2"/>
                  <c:y val="-2.8459542207190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06-4AEE-91EE-B03146330420}"/>
                </c:ext>
              </c:extLst>
            </c:dLbl>
            <c:dLbl>
              <c:idx val="3"/>
              <c:layout>
                <c:manualLayout>
                  <c:x val="-3.8720807641928437E-2"/>
                  <c:y val="-2.5651485694057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06-4AEE-91EE-B03146330420}"/>
                </c:ext>
              </c:extLst>
            </c:dLbl>
            <c:dLbl>
              <c:idx val="4"/>
              <c:layout>
                <c:manualLayout>
                  <c:x val="-3.8720807641928374E-2"/>
                  <c:y val="-2.8459542207189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06-4AEE-91EE-B03146330420}"/>
                </c:ext>
              </c:extLst>
            </c:dLbl>
            <c:dLbl>
              <c:idx val="6"/>
              <c:layout>
                <c:manualLayout>
                  <c:x val="-3.8180598354394718E-2"/>
                  <c:y val="-2.6950267108084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7A-484D-AC63-4462A2AE306F}"/>
                </c:ext>
              </c:extLst>
            </c:dLbl>
            <c:dLbl>
              <c:idx val="8"/>
              <c:layout>
                <c:manualLayout>
                  <c:x val="-3.8796459070571845E-2"/>
                  <c:y val="-3.4613387000378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F56-4069-81C9-BEF71FA41BD7}"/>
                </c:ext>
              </c:extLst>
            </c:dLbl>
            <c:spPr>
              <a:solidFill>
                <a:srgbClr val="C0C0C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Daten!$B$10:$B$18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Daten!$I$10:$I$18</c:f>
              <c:numCache>
                <c:formatCode>#,##0</c:formatCode>
                <c:ptCount val="9"/>
                <c:pt idx="0">
                  <c:v>6927</c:v>
                </c:pt>
                <c:pt idx="1">
                  <c:v>8401</c:v>
                </c:pt>
                <c:pt idx="2">
                  <c:v>10307</c:v>
                </c:pt>
                <c:pt idx="3">
                  <c:v>10684</c:v>
                </c:pt>
                <c:pt idx="4">
                  <c:v>12739</c:v>
                </c:pt>
                <c:pt idx="5">
                  <c:v>14000</c:v>
                </c:pt>
                <c:pt idx="6">
                  <c:v>16103</c:v>
                </c:pt>
                <c:pt idx="7">
                  <c:v>16763</c:v>
                </c:pt>
                <c:pt idx="8">
                  <c:v>15623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7F56-4069-81C9-BEF71FA41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3364784"/>
        <c:axId val="-693374032"/>
      </c:lineChart>
      <c:catAx>
        <c:axId val="-69336478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-693374032"/>
        <c:crosses val="autoZero"/>
        <c:auto val="1"/>
        <c:lblAlgn val="ctr"/>
        <c:lblOffset val="100"/>
        <c:noMultiLvlLbl val="0"/>
      </c:catAx>
      <c:valAx>
        <c:axId val="-69337403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Tonnen</c:v>
                </c:pt>
              </c:strCache>
            </c:strRef>
          </c:tx>
          <c:layout>
            <c:manualLayout>
              <c:xMode val="edge"/>
              <c:yMode val="edge"/>
              <c:x val="0.10291429495288797"/>
              <c:y val="3.376942229875466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-69336478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4.578591782873731E-2"/>
          <c:y val="0.85090987648842931"/>
          <c:w val="0.92988718564913431"/>
          <c:h val="6.773706741032671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142876</xdr:colOff>
      <xdr:row>45</xdr:row>
      <xdr:rowOff>19050</xdr:rowOff>
    </xdr:from>
    <xdr:to>
      <xdr:col>21</xdr:col>
      <xdr:colOff>714376</xdr:colOff>
      <xdr:row>58</xdr:row>
      <xdr:rowOff>152399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57150</xdr:colOff>
      <xdr:row>89</xdr:row>
      <xdr:rowOff>19050</xdr:rowOff>
    </xdr:from>
    <xdr:to>
      <xdr:col>14</xdr:col>
      <xdr:colOff>533400</xdr:colOff>
      <xdr:row>108</xdr:row>
      <xdr:rowOff>9525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514350</xdr:colOff>
      <xdr:row>88</xdr:row>
      <xdr:rowOff>171450</xdr:rowOff>
    </xdr:from>
    <xdr:to>
      <xdr:col>7</xdr:col>
      <xdr:colOff>457200</xdr:colOff>
      <xdr:row>107</xdr:row>
      <xdr:rowOff>85725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1352550</xdr:colOff>
      <xdr:row>110</xdr:row>
      <xdr:rowOff>123825</xdr:rowOff>
    </xdr:from>
    <xdr:to>
      <xdr:col>12</xdr:col>
      <xdr:colOff>704850</xdr:colOff>
      <xdr:row>131</xdr:row>
      <xdr:rowOff>9525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0.00361</cdr:x>
      <cdr:y>0.00711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A5A37B-F021-43D6-BD59-4BB616DF453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0.00361</cdr:x>
      <cdr:y>0.00711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76E02BED-F4B1-4F2C-A533-A4494BDF52E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0.78718</cdr:x>
      <cdr:y>0.26087</cdr:y>
    </cdr:from>
    <cdr:to>
      <cdr:x>0.98846</cdr:x>
      <cdr:y>0.36384</cdr:y>
    </cdr:to>
    <cdr:sp macro="" textlink="">
      <cdr:nvSpPr>
        <cdr:cNvPr id="5" name="Textfeld 4"/>
        <cdr:cNvSpPr txBox="1"/>
      </cdr:nvSpPr>
      <cdr:spPr>
        <a:xfrm xmlns:a="http://schemas.openxmlformats.org/drawingml/2006/main">
          <a:off x="5848349" y="1085850"/>
          <a:ext cx="1495425" cy="4286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000" b="1"/>
            <a:t>Primärbatterien: 	</a:t>
          </a:r>
          <a:r>
            <a:rPr lang="de-DE" sz="1000" b="1" baseline="0"/>
            <a:t>    </a:t>
          </a:r>
          <a:r>
            <a:rPr lang="de-DE" sz="1000" b="1"/>
            <a:t>72 %</a:t>
          </a:r>
        </a:p>
        <a:p xmlns:a="http://schemas.openxmlformats.org/drawingml/2006/main">
          <a:r>
            <a:rPr lang="de-DE" sz="1000" b="1"/>
            <a:t>Sekundärbatteien:  28 %</a:t>
          </a:r>
        </a:p>
        <a:p xmlns:a="http://schemas.openxmlformats.org/drawingml/2006/main">
          <a:endParaRPr lang="de-DE" sz="10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8284</xdr:rowOff>
    </xdr:from>
    <xdr:to>
      <xdr:col>14</xdr:col>
      <xdr:colOff>72127</xdr:colOff>
      <xdr:row>21</xdr:row>
      <xdr:rowOff>17600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578316</xdr:colOff>
      <xdr:row>18</xdr:row>
      <xdr:rowOff>1094167</xdr:rowOff>
    </xdr:from>
    <xdr:to>
      <xdr:col>13</xdr:col>
      <xdr:colOff>49351</xdr:colOff>
      <xdr:row>20</xdr:row>
      <xdr:rowOff>177044</xdr:rowOff>
    </xdr:to>
    <xdr:sp macro="" textlink="Daten!X3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626191" y="4912105"/>
          <a:ext cx="4368473" cy="265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Erfolgskontrollberichte der Rücknahmesysteme für Geräte-Altbatterien 2015 bis 2023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27332</xdr:colOff>
      <xdr:row>20</xdr:row>
      <xdr:rowOff>76093</xdr:rowOff>
    </xdr:from>
    <xdr:to>
      <xdr:col>4</xdr:col>
      <xdr:colOff>919369</xdr:colOff>
      <xdr:row>22</xdr:row>
      <xdr:rowOff>20017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42680" y="5096734"/>
          <a:ext cx="1678885" cy="353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149432</xdr:colOff>
      <xdr:row>0</xdr:row>
      <xdr:rowOff>223834</xdr:rowOff>
    </xdr:from>
    <xdr:to>
      <xdr:col>13</xdr:col>
      <xdr:colOff>33475</xdr:colOff>
      <xdr:row>3</xdr:row>
      <xdr:rowOff>34854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49432" y="223834"/>
          <a:ext cx="6829356" cy="55714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Gerätebatterien: Entwicklung der in Verkehr gebrachten Primär- und Sekundärbatterien und der größten Batteriesysteme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150813</xdr:colOff>
      <xdr:row>2</xdr:row>
      <xdr:rowOff>139700</xdr:rowOff>
    </xdr:from>
    <xdr:to>
      <xdr:col>12</xdr:col>
      <xdr:colOff>865188</xdr:colOff>
      <xdr:row>3</xdr:row>
      <xdr:rowOff>168275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50813" y="647700"/>
          <a:ext cx="6723063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Leichter Rückgang bei den wiederaufladbaren Li-Ion Batterien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61505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238818" y="26576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16568</xdr:colOff>
      <xdr:row>18</xdr:row>
      <xdr:rowOff>1068106</xdr:rowOff>
    </xdr:from>
    <xdr:to>
      <xdr:col>13</xdr:col>
      <xdr:colOff>61505</xdr:colOff>
      <xdr:row>18</xdr:row>
      <xdr:rowOff>1068106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238818" y="4886044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16568</xdr:colOff>
      <xdr:row>18</xdr:row>
      <xdr:rowOff>658121</xdr:rowOff>
    </xdr:from>
    <xdr:to>
      <xdr:col>13</xdr:col>
      <xdr:colOff>61505</xdr:colOff>
      <xdr:row>18</xdr:row>
      <xdr:rowOff>658121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238818" y="4476059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ende\i1.5\Int\BattG\30%20111-14-77%20BattG%20Dokumentation\Gesamt%20mit%20Teilergebnis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samt"/>
      <sheetName val="i.Verkehr"/>
      <sheetName val="zurück"/>
      <sheetName val="verwertet"/>
      <sheetName val="Verwertungsergebnisse"/>
      <sheetName val="FB und IB"/>
      <sheetName val="FB und IB (Presse)"/>
      <sheetName val="Gesamt (Presse)"/>
    </sheetNames>
    <sheetDataSet>
      <sheetData sheetId="0"/>
      <sheetData sheetId="1">
        <row r="2">
          <cell r="B2">
            <v>2010</v>
          </cell>
          <cell r="C2" t="str">
            <v>Typengruppe</v>
          </cell>
          <cell r="D2" t="str">
            <v>System</v>
          </cell>
          <cell r="E2" t="str">
            <v xml:space="preserve"> § 15 (1) Nr. 1  BattG
Masse der in Verkehr gebrachten Batterien</v>
          </cell>
        </row>
        <row r="3">
          <cell r="E3" t="str">
            <v>[t]</v>
          </cell>
          <cell r="F3" t="str">
            <v>[%]</v>
          </cell>
        </row>
        <row r="4">
          <cell r="B4" t="str">
            <v>Primärbatterien</v>
          </cell>
          <cell r="C4" t="str">
            <v>Rundzellen / Blockbatterien</v>
          </cell>
          <cell r="D4" t="str">
            <v>ZnC</v>
          </cell>
          <cell r="E4">
            <v>5341.6236666666673</v>
          </cell>
          <cell r="F4">
            <v>12.559403744212309</v>
          </cell>
        </row>
        <row r="5">
          <cell r="D5" t="str">
            <v>AlMn</v>
          </cell>
          <cell r="E5">
            <v>25902.377666666667</v>
          </cell>
          <cell r="F5">
            <v>60.902534388713889</v>
          </cell>
        </row>
        <row r="6">
          <cell r="D6" t="str">
            <v>Zn-Luft</v>
          </cell>
          <cell r="E6">
            <v>71.167666666666662</v>
          </cell>
          <cell r="F6">
            <v>0.16733179178793767</v>
          </cell>
        </row>
        <row r="7">
          <cell r="D7" t="str">
            <v>Li</v>
          </cell>
          <cell r="E7">
            <v>295.79999999999995</v>
          </cell>
          <cell r="F7">
            <v>0.69549482692334941</v>
          </cell>
        </row>
        <row r="8">
          <cell r="C8" t="str">
            <v>Knopfzellen</v>
          </cell>
          <cell r="D8" t="str">
            <v>AgO</v>
          </cell>
          <cell r="E8">
            <v>30.125</v>
          </cell>
          <cell r="F8">
            <v>7.0830904871757625E-2</v>
          </cell>
        </row>
        <row r="9">
          <cell r="D9" t="str">
            <v>AlMn</v>
          </cell>
          <cell r="E9">
            <v>401.02610000000004</v>
          </cell>
          <cell r="F9">
            <v>0.94290594324288668</v>
          </cell>
        </row>
        <row r="10">
          <cell r="D10" t="str">
            <v>Zn-Luft</v>
          </cell>
          <cell r="E10">
            <v>113.824</v>
          </cell>
          <cell r="F10">
            <v>0.26762678559744196</v>
          </cell>
        </row>
        <row r="11">
          <cell r="D11" t="str">
            <v>Li</v>
          </cell>
          <cell r="E11">
            <v>209.13900000000001</v>
          </cell>
          <cell r="F11">
            <v>0.49173459299500477</v>
          </cell>
        </row>
        <row r="12">
          <cell r="D12" t="str">
            <v>Sonstige (HgO)</v>
          </cell>
          <cell r="E12">
            <v>1.8879999999999999</v>
          </cell>
          <cell r="F12">
            <v>4.4391285775229336E-3</v>
          </cell>
        </row>
        <row r="13">
          <cell r="C13" t="str">
            <v>Summe</v>
          </cell>
          <cell r="E13">
            <v>32366.971099999999</v>
          </cell>
          <cell r="F13">
            <v>76.102302106922096</v>
          </cell>
        </row>
        <row r="14">
          <cell r="B14" t="str">
            <v>Sekundärbatterien</v>
          </cell>
          <cell r="C14" t="str">
            <v>Rund-/Prismatische Zellen / Blockbatterien</v>
          </cell>
          <cell r="D14" t="str">
            <v>AlMn</v>
          </cell>
          <cell r="E14">
            <v>32.404000000000003</v>
          </cell>
          <cell r="F14">
            <v>7.6189365691765459E-2</v>
          </cell>
        </row>
        <row r="15">
          <cell r="D15" t="str">
            <v>Li-Ion</v>
          </cell>
          <cell r="E15">
            <v>5368.8078000000005</v>
          </cell>
          <cell r="F15">
            <v>12.623319985279679</v>
          </cell>
        </row>
        <row r="16">
          <cell r="D16" t="str">
            <v>NiMH</v>
          </cell>
          <cell r="E16">
            <v>2731.67</v>
          </cell>
          <cell r="F16">
            <v>6.4227936236027929</v>
          </cell>
        </row>
        <row r="17">
          <cell r="D17" t="str">
            <v>NiCd</v>
          </cell>
          <cell r="E17">
            <v>1188.798</v>
          </cell>
          <cell r="F17">
            <v>2.7951415120244221</v>
          </cell>
        </row>
        <row r="18">
          <cell r="D18" t="str">
            <v>Pb</v>
          </cell>
          <cell r="E18">
            <v>811.90600000000006</v>
          </cell>
          <cell r="F18">
            <v>1.9089804697364066</v>
          </cell>
        </row>
        <row r="19">
          <cell r="C19" t="str">
            <v>Knopfzellen</v>
          </cell>
          <cell r="D19" t="str">
            <v>Li-Ion</v>
          </cell>
          <cell r="E19">
            <v>17.858000000000001</v>
          </cell>
          <cell r="F19">
            <v>4.1988325284642247E-2</v>
          </cell>
        </row>
        <row r="20">
          <cell r="D20" t="str">
            <v>NiMH</v>
          </cell>
          <cell r="E20">
            <v>10.123999999999999</v>
          </cell>
          <cell r="F20">
            <v>2.3803886503624035E-2</v>
          </cell>
        </row>
        <row r="21">
          <cell r="D21" t="str">
            <v>NiCd</v>
          </cell>
          <cell r="E21">
            <v>2.331</v>
          </cell>
          <cell r="F21">
            <v>5.4807249545582408E-3</v>
          </cell>
        </row>
        <row r="22">
          <cell r="D22" t="str">
            <v>Sonstige</v>
          </cell>
          <cell r="E22">
            <v>0</v>
          </cell>
          <cell r="F22">
            <v>0</v>
          </cell>
        </row>
        <row r="23">
          <cell r="C23" t="str">
            <v>Summe</v>
          </cell>
          <cell r="E23">
            <v>10163.898800000003</v>
          </cell>
          <cell r="F23">
            <v>23.897697893077893</v>
          </cell>
        </row>
        <row r="24">
          <cell r="C24" t="str">
            <v>Gesamt</v>
          </cell>
          <cell r="E24">
            <v>42530.869900000005</v>
          </cell>
          <cell r="F24">
            <v>99.999999999999986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25"/>
  <sheetViews>
    <sheetView workbookViewId="0">
      <selection activeCell="J71" sqref="J71"/>
    </sheetView>
  </sheetViews>
  <sheetFormatPr baseColWidth="10" defaultColWidth="11.42578125" defaultRowHeight="15" x14ac:dyDescent="0.25"/>
  <cols>
    <col min="1" max="1" width="15.7109375" style="46" customWidth="1"/>
    <col min="2" max="2" width="11.42578125" style="46"/>
    <col min="3" max="3" width="21.140625" style="46" customWidth="1"/>
    <col min="4" max="4" width="14" style="46" customWidth="1"/>
    <col min="5" max="5" width="20.42578125" style="46" customWidth="1"/>
    <col min="6" max="6" width="22.7109375" style="46" customWidth="1"/>
    <col min="7" max="11" width="11.42578125" style="46"/>
    <col min="12" max="12" width="20.85546875" style="46" customWidth="1"/>
    <col min="13" max="14" width="24.7109375" style="46" customWidth="1"/>
    <col min="15" max="16384" width="11.42578125" style="46"/>
  </cols>
  <sheetData>
    <row r="1" spans="2:14" x14ac:dyDescent="0.25">
      <c r="M1" s="47"/>
    </row>
    <row r="2" spans="2:14" ht="32.25" customHeight="1" x14ac:dyDescent="0.25">
      <c r="B2" s="48">
        <v>2011</v>
      </c>
      <c r="C2" s="48" t="s">
        <v>10</v>
      </c>
      <c r="D2" s="48" t="s">
        <v>11</v>
      </c>
      <c r="E2" s="152" t="s">
        <v>12</v>
      </c>
      <c r="F2" s="154"/>
      <c r="M2" s="49" t="s">
        <v>13</v>
      </c>
      <c r="N2" s="50" t="s">
        <v>14</v>
      </c>
    </row>
    <row r="3" spans="2:14" x14ac:dyDescent="0.25">
      <c r="B3" s="51"/>
      <c r="C3" s="51"/>
      <c r="D3" s="52"/>
      <c r="E3" s="53" t="s">
        <v>15</v>
      </c>
      <c r="F3" s="53" t="s">
        <v>16</v>
      </c>
      <c r="J3" s="54"/>
      <c r="K3" s="54"/>
      <c r="L3" s="54"/>
      <c r="M3" s="55" t="s">
        <v>17</v>
      </c>
      <c r="N3" s="56" t="s">
        <v>17</v>
      </c>
    </row>
    <row r="4" spans="2:14" ht="51" x14ac:dyDescent="0.25">
      <c r="B4" s="155" t="s">
        <v>18</v>
      </c>
      <c r="C4" s="157" t="s">
        <v>19</v>
      </c>
      <c r="D4" s="52" t="s">
        <v>20</v>
      </c>
      <c r="E4" s="57">
        <f>2245+3703.909866+(96.208/3)+N6</f>
        <v>5982.2481993333331</v>
      </c>
      <c r="F4" s="58">
        <f>E4*100/E24</f>
        <v>13.804867210595688</v>
      </c>
      <c r="J4" s="54"/>
      <c r="K4" s="59" t="s">
        <v>21</v>
      </c>
      <c r="L4" s="59" t="s">
        <v>22</v>
      </c>
      <c r="M4" s="60" t="s">
        <v>12</v>
      </c>
      <c r="N4" s="61" t="s">
        <v>23</v>
      </c>
    </row>
    <row r="5" spans="2:14" x14ac:dyDescent="0.25">
      <c r="B5" s="156"/>
      <c r="C5" s="158"/>
      <c r="D5" s="52" t="s">
        <v>24</v>
      </c>
      <c r="E5" s="57">
        <f>19268+3350.779+(96.208/3)+N7</f>
        <v>24162.112333333331</v>
      </c>
      <c r="F5" s="58">
        <f>E5*100/E24</f>
        <v>55.757424495749703</v>
      </c>
      <c r="J5" s="54"/>
      <c r="K5" s="62"/>
      <c r="L5" s="62"/>
      <c r="M5" s="53" t="s">
        <v>15</v>
      </c>
      <c r="N5" s="63" t="s">
        <v>25</v>
      </c>
    </row>
    <row r="6" spans="2:14" ht="25.5" x14ac:dyDescent="0.25">
      <c r="B6" s="156"/>
      <c r="C6" s="158"/>
      <c r="D6" s="52" t="s">
        <v>26</v>
      </c>
      <c r="E6" s="57">
        <f>6+1.91+(96.208/3)+N8</f>
        <v>39.979333333333329</v>
      </c>
      <c r="F6" s="58">
        <f>E6*100/E24</f>
        <v>9.2257855148222323E-2</v>
      </c>
      <c r="I6" s="64"/>
      <c r="J6" s="54"/>
      <c r="K6" s="160" t="s">
        <v>27</v>
      </c>
      <c r="L6" s="61" t="s">
        <v>28</v>
      </c>
      <c r="M6" s="65">
        <v>3703.909866</v>
      </c>
      <c r="N6" s="66">
        <v>1.2689999999999999</v>
      </c>
    </row>
    <row r="7" spans="2:14" ht="25.5" x14ac:dyDescent="0.25">
      <c r="B7" s="156"/>
      <c r="C7" s="159"/>
      <c r="D7" s="52" t="s">
        <v>29</v>
      </c>
      <c r="E7" s="57">
        <f>236+70.13+1.044+N9</f>
        <v>315.77</v>
      </c>
      <c r="F7" s="58">
        <f>E7*100/E24</f>
        <v>0.72868305925113386</v>
      </c>
      <c r="J7" s="54"/>
      <c r="K7" s="160"/>
      <c r="L7" s="67" t="s">
        <v>30</v>
      </c>
      <c r="M7" s="65">
        <v>3350.7791850000003</v>
      </c>
      <c r="N7" s="68">
        <v>1511.2639999999999</v>
      </c>
    </row>
    <row r="8" spans="2:14" ht="25.5" x14ac:dyDescent="0.25">
      <c r="B8" s="156"/>
      <c r="C8" s="161" t="s">
        <v>31</v>
      </c>
      <c r="D8" s="52" t="s">
        <v>32</v>
      </c>
      <c r="E8" s="57">
        <f>30+17.583+0.002</f>
        <v>47.585000000000001</v>
      </c>
      <c r="F8" s="58">
        <f>E8*100/E24</f>
        <v>0.10980898557325017</v>
      </c>
      <c r="J8" s="54"/>
      <c r="K8" s="160"/>
      <c r="L8" s="67" t="s">
        <v>33</v>
      </c>
      <c r="M8" s="65">
        <v>1.91</v>
      </c>
      <c r="N8" s="69">
        <v>0</v>
      </c>
    </row>
    <row r="9" spans="2:14" ht="25.5" x14ac:dyDescent="0.25">
      <c r="B9" s="156"/>
      <c r="C9" s="162"/>
      <c r="D9" s="52" t="s">
        <v>24</v>
      </c>
      <c r="E9" s="57">
        <f>173+12.634+0.775+N11</f>
        <v>187.03200000000001</v>
      </c>
      <c r="F9" s="58">
        <f>E9*100/E24</f>
        <v>0.43160227361008985</v>
      </c>
      <c r="K9" s="160"/>
      <c r="L9" s="67" t="s">
        <v>34</v>
      </c>
      <c r="M9" s="65">
        <v>70.129911000000007</v>
      </c>
      <c r="N9" s="68">
        <v>8.5960000000000001</v>
      </c>
    </row>
    <row r="10" spans="2:14" ht="25.5" x14ac:dyDescent="0.25">
      <c r="B10" s="156"/>
      <c r="C10" s="162"/>
      <c r="D10" s="52" t="s">
        <v>26</v>
      </c>
      <c r="E10" s="57">
        <f>126+61.006+N12</f>
        <v>187.33600000000001</v>
      </c>
      <c r="F10" s="58">
        <f>E10*100/E24</f>
        <v>0.43230379576232836</v>
      </c>
      <c r="K10" s="164" t="s">
        <v>35</v>
      </c>
      <c r="L10" s="67" t="s">
        <v>36</v>
      </c>
      <c r="M10" s="65">
        <v>17.58342</v>
      </c>
      <c r="N10" s="70">
        <v>0.21440000000000001</v>
      </c>
    </row>
    <row r="11" spans="2:14" ht="25.5" x14ac:dyDescent="0.25">
      <c r="B11" s="156"/>
      <c r="C11" s="163"/>
      <c r="D11" s="52" t="s">
        <v>29</v>
      </c>
      <c r="E11" s="57">
        <f>243+21.017+0.083+N13</f>
        <v>267.22890000000001</v>
      </c>
      <c r="F11" s="58">
        <f>E11*100/E24</f>
        <v>0.61666774035632055</v>
      </c>
      <c r="K11" s="164"/>
      <c r="L11" s="67" t="s">
        <v>30</v>
      </c>
      <c r="M11" s="65">
        <v>12.634422000000001</v>
      </c>
      <c r="N11" s="68">
        <v>0.623</v>
      </c>
    </row>
    <row r="12" spans="2:14" ht="25.5" x14ac:dyDescent="0.25">
      <c r="B12" s="156"/>
      <c r="C12" s="71"/>
      <c r="D12" s="52" t="s">
        <v>37</v>
      </c>
      <c r="E12" s="57">
        <f>0+22.309+0+N14</f>
        <v>22.309000000000001</v>
      </c>
      <c r="F12" s="58">
        <f>E12*100/E24</f>
        <v>5.1481110836474477E-2</v>
      </c>
      <c r="K12" s="164"/>
      <c r="L12" s="67" t="s">
        <v>33</v>
      </c>
      <c r="M12" s="65">
        <v>61.006176000000004</v>
      </c>
      <c r="N12" s="72">
        <v>0.33</v>
      </c>
    </row>
    <row r="13" spans="2:14" ht="25.5" x14ac:dyDescent="0.25">
      <c r="B13" s="73"/>
      <c r="C13" s="74" t="s">
        <v>38</v>
      </c>
      <c r="D13" s="75"/>
      <c r="E13" s="76">
        <f>SUM(E4:E12)</f>
        <v>31211.600765999996</v>
      </c>
      <c r="F13" s="77">
        <f>SUM(F4:F12)</f>
        <v>72.025096526883218</v>
      </c>
      <c r="K13" s="164"/>
      <c r="L13" s="67" t="s">
        <v>34</v>
      </c>
      <c r="M13" s="65">
        <v>21.017002000000002</v>
      </c>
      <c r="N13" s="78">
        <v>3.1288999999999998</v>
      </c>
    </row>
    <row r="14" spans="2:14" ht="25.5" x14ac:dyDescent="0.25">
      <c r="B14" s="165" t="s">
        <v>39</v>
      </c>
      <c r="C14" s="169" t="s">
        <v>40</v>
      </c>
      <c r="D14" s="52" t="s">
        <v>24</v>
      </c>
      <c r="E14" s="57">
        <f>22+0+0+N16</f>
        <v>25.649000000000001</v>
      </c>
      <c r="F14" s="79">
        <f>E14*100/E24</f>
        <v>5.9188623956463036E-2</v>
      </c>
      <c r="K14" s="80"/>
      <c r="L14" s="67" t="s">
        <v>41</v>
      </c>
      <c r="M14" s="65">
        <v>22.309462</v>
      </c>
      <c r="N14" s="69">
        <v>0</v>
      </c>
    </row>
    <row r="15" spans="2:14" ht="25.5" x14ac:dyDescent="0.25">
      <c r="B15" s="166"/>
      <c r="C15" s="169"/>
      <c r="D15" s="52" t="s">
        <v>42</v>
      </c>
      <c r="E15" s="57">
        <f>6075+431.912+41.81+N17</f>
        <v>6617.4720000000007</v>
      </c>
      <c r="F15" s="79">
        <f>E15*100/E24</f>
        <v>15.270734209927225</v>
      </c>
      <c r="K15" s="81" t="s">
        <v>43</v>
      </c>
      <c r="L15" s="82"/>
      <c r="M15" s="83">
        <f>SUM(M6:M14)</f>
        <v>7261.2794439999998</v>
      </c>
      <c r="N15" s="84">
        <v>1525.4253000000001</v>
      </c>
    </row>
    <row r="16" spans="2:14" ht="25.5" x14ac:dyDescent="0.25">
      <c r="B16" s="166"/>
      <c r="C16" s="169"/>
      <c r="D16" s="52" t="s">
        <v>44</v>
      </c>
      <c r="E16" s="57">
        <f>2634+353.032+2.886+N18</f>
        <v>3128.5080000000003</v>
      </c>
      <c r="F16" s="79">
        <f>E16*100/E24</f>
        <v>7.2194660047871766</v>
      </c>
      <c r="K16" s="170" t="s">
        <v>45</v>
      </c>
      <c r="L16" s="67" t="s">
        <v>30</v>
      </c>
      <c r="M16" s="85"/>
      <c r="N16" s="68">
        <v>3.649</v>
      </c>
    </row>
    <row r="17" spans="2:14" ht="25.5" x14ac:dyDescent="0.25">
      <c r="B17" s="166"/>
      <c r="C17" s="169"/>
      <c r="D17" s="52" t="s">
        <v>46</v>
      </c>
      <c r="E17" s="57">
        <f>1019+288.681+0.324+N19</f>
        <v>1334.633</v>
      </c>
      <c r="F17" s="79">
        <f>E17*100/E24</f>
        <v>3.0798507059490094</v>
      </c>
      <c r="K17" s="170"/>
      <c r="L17" s="67" t="s">
        <v>47</v>
      </c>
      <c r="M17" s="65">
        <v>431.91238699999997</v>
      </c>
      <c r="N17" s="72">
        <v>68.75</v>
      </c>
    </row>
    <row r="18" spans="2:14" ht="25.5" x14ac:dyDescent="0.25">
      <c r="B18" s="166"/>
      <c r="C18" s="169"/>
      <c r="D18" s="52" t="s">
        <v>48</v>
      </c>
      <c r="E18" s="57">
        <f>845+145.069+0.088+N20</f>
        <v>990.47599999999989</v>
      </c>
      <c r="F18" s="79">
        <f>E18*100/E24</f>
        <v>2.2856607080939484</v>
      </c>
      <c r="K18" s="170"/>
      <c r="L18" s="86" t="s">
        <v>49</v>
      </c>
      <c r="M18" s="65">
        <f>353.032241</f>
        <v>353.032241</v>
      </c>
      <c r="N18" s="72">
        <v>138.59</v>
      </c>
    </row>
    <row r="19" spans="2:14" ht="25.5" x14ac:dyDescent="0.25">
      <c r="B19" s="166"/>
      <c r="C19" s="171" t="s">
        <v>31</v>
      </c>
      <c r="D19" s="52" t="s">
        <v>42</v>
      </c>
      <c r="E19" s="57">
        <f>14+0.282+1.351+N21</f>
        <v>15.632999999999999</v>
      </c>
      <c r="F19" s="79">
        <f>E19*100/E24</f>
        <v>3.6075315151132076E-2</v>
      </c>
      <c r="K19" s="170"/>
      <c r="L19" s="67" t="s">
        <v>50</v>
      </c>
      <c r="M19" s="65">
        <f>288.681026</f>
        <v>288.68102599999997</v>
      </c>
      <c r="N19" s="68">
        <v>26.628</v>
      </c>
    </row>
    <row r="20" spans="2:14" ht="25.5" x14ac:dyDescent="0.25">
      <c r="B20" s="166"/>
      <c r="C20" s="171"/>
      <c r="D20" s="52" t="s">
        <v>44</v>
      </c>
      <c r="E20" s="57">
        <f>9+0.12+0.015+N22</f>
        <v>9.1349999999999998</v>
      </c>
      <c r="F20" s="79">
        <f>E20*100/E24</f>
        <v>2.1080279147034576E-2</v>
      </c>
      <c r="K20" s="170"/>
      <c r="L20" s="87" t="s">
        <v>51</v>
      </c>
      <c r="M20" s="65">
        <v>145.06863100000001</v>
      </c>
      <c r="N20" s="68">
        <v>0.31900000000000001</v>
      </c>
    </row>
    <row r="21" spans="2:14" ht="25.5" x14ac:dyDescent="0.25">
      <c r="B21" s="166"/>
      <c r="C21" s="171"/>
      <c r="D21" s="52" t="s">
        <v>46</v>
      </c>
      <c r="E21" s="57">
        <f>1+0.228+0.006+N23</f>
        <v>1.234</v>
      </c>
      <c r="F21" s="79">
        <f>E21*100/E24</f>
        <v>2.8476261048101443E-3</v>
      </c>
      <c r="K21" s="164" t="s">
        <v>35</v>
      </c>
      <c r="L21" s="67" t="s">
        <v>47</v>
      </c>
      <c r="M21" s="65">
        <v>0.28247</v>
      </c>
      <c r="N21" s="69">
        <v>0</v>
      </c>
    </row>
    <row r="22" spans="2:14" ht="25.5" x14ac:dyDescent="0.25">
      <c r="B22" s="167"/>
      <c r="C22" s="88"/>
      <c r="D22" s="52" t="s">
        <v>52</v>
      </c>
      <c r="E22" s="57"/>
      <c r="F22" s="79">
        <f>E22*100/E24</f>
        <v>0</v>
      </c>
      <c r="K22" s="164"/>
      <c r="L22" s="67" t="s">
        <v>49</v>
      </c>
      <c r="M22" s="65">
        <v>0.119601</v>
      </c>
      <c r="N22" s="69">
        <v>0</v>
      </c>
    </row>
    <row r="23" spans="2:14" ht="25.5" x14ac:dyDescent="0.25">
      <c r="B23" s="168"/>
      <c r="C23" s="74" t="s">
        <v>38</v>
      </c>
      <c r="D23" s="75"/>
      <c r="E23" s="76">
        <f>SUM(E14:E22)</f>
        <v>12122.740000000002</v>
      </c>
      <c r="F23" s="77">
        <f>SUM(F14:F22)</f>
        <v>27.9749034731168</v>
      </c>
      <c r="K23" s="164"/>
      <c r="L23" s="67" t="s">
        <v>50</v>
      </c>
      <c r="M23" s="65">
        <v>0.22828300000000001</v>
      </c>
      <c r="N23" s="69">
        <v>0</v>
      </c>
    </row>
    <row r="24" spans="2:14" ht="25.5" x14ac:dyDescent="0.25">
      <c r="B24" s="89"/>
      <c r="C24" s="74" t="s">
        <v>53</v>
      </c>
      <c r="D24" s="75"/>
      <c r="E24" s="90">
        <f>E13+E23</f>
        <v>43334.340765999994</v>
      </c>
      <c r="F24" s="91">
        <f>F13+F23</f>
        <v>100.00000000000001</v>
      </c>
      <c r="K24" s="80"/>
      <c r="L24" s="67" t="s">
        <v>41</v>
      </c>
      <c r="M24" s="85"/>
      <c r="N24" s="69">
        <v>0</v>
      </c>
    </row>
    <row r="25" spans="2:14" ht="25.5" x14ac:dyDescent="0.25">
      <c r="K25" s="81" t="s">
        <v>43</v>
      </c>
      <c r="L25" s="82"/>
      <c r="M25" s="92">
        <f>SUM(M16:M24)</f>
        <v>1219.3246390000002</v>
      </c>
      <c r="N25" s="93">
        <v>238</v>
      </c>
    </row>
    <row r="26" spans="2:14" ht="25.5" x14ac:dyDescent="0.25">
      <c r="C26" s="94"/>
      <c r="D26" s="95"/>
      <c r="E26" s="96"/>
      <c r="K26" s="80"/>
      <c r="L26" s="67" t="s">
        <v>54</v>
      </c>
      <c r="M26" s="97"/>
      <c r="N26" s="98"/>
    </row>
    <row r="27" spans="2:14" ht="15" customHeight="1" x14ac:dyDescent="0.25">
      <c r="B27" s="48">
        <f>[1]i.Verkehr!B2</f>
        <v>2010</v>
      </c>
      <c r="C27" s="48" t="str">
        <f>[1]i.Verkehr!C2</f>
        <v>Typengruppe</v>
      </c>
      <c r="D27" s="48" t="str">
        <f>[1]i.Verkehr!D2</f>
        <v>System</v>
      </c>
      <c r="E27" s="152" t="str">
        <f>[1]i.Verkehr!E2</f>
        <v xml:space="preserve"> § 15 (1) Nr. 1  BattG
Masse der in Verkehr gebrachten Batterien</v>
      </c>
      <c r="F27" s="153"/>
      <c r="K27" s="99" t="s">
        <v>55</v>
      </c>
      <c r="L27" s="99" t="s">
        <v>56</v>
      </c>
      <c r="M27" s="100">
        <f>M15+M25</f>
        <v>8480.6040830000002</v>
      </c>
      <c r="N27" s="93">
        <v>1763</v>
      </c>
    </row>
    <row r="28" spans="2:14" ht="38.25" x14ac:dyDescent="0.25">
      <c r="B28" s="101"/>
      <c r="C28" s="101"/>
      <c r="D28" s="102"/>
      <c r="E28" s="103" t="str">
        <f>[1]i.Verkehr!E3</f>
        <v>[t]</v>
      </c>
      <c r="F28" s="103" t="str">
        <f>[1]i.Verkehr!F3</f>
        <v>[%]</v>
      </c>
      <c r="K28" s="67" t="s">
        <v>55</v>
      </c>
      <c r="L28" s="67" t="s">
        <v>57</v>
      </c>
      <c r="M28" s="85">
        <v>6340</v>
      </c>
      <c r="N28" s="69">
        <v>2036</v>
      </c>
    </row>
    <row r="29" spans="2:14" ht="15" customHeight="1" x14ac:dyDescent="0.25">
      <c r="B29" s="172" t="str">
        <f>[1]i.Verkehr!B4</f>
        <v>Primärbatterien</v>
      </c>
      <c r="C29" s="174" t="str">
        <f>[1]i.Verkehr!C4</f>
        <v>Rundzellen / Blockbatterien</v>
      </c>
      <c r="D29" s="102" t="str">
        <f>[1]i.Verkehr!D4</f>
        <v>ZnC</v>
      </c>
      <c r="E29" s="104">
        <f>[1]i.Verkehr!E4</f>
        <v>5341.6236666666673</v>
      </c>
      <c r="F29" s="105">
        <f>[1]i.Verkehr!F4</f>
        <v>12.559403744212309</v>
      </c>
      <c r="K29" s="67" t="s">
        <v>55</v>
      </c>
      <c r="L29" s="67" t="s">
        <v>58</v>
      </c>
      <c r="M29" s="85">
        <v>5218</v>
      </c>
      <c r="N29" s="69"/>
    </row>
    <row r="30" spans="2:14" x14ac:dyDescent="0.25">
      <c r="B30" s="173"/>
      <c r="C30" s="175"/>
      <c r="D30" s="102" t="str">
        <f>[1]i.Verkehr!D5</f>
        <v>AlMn</v>
      </c>
      <c r="E30" s="104">
        <f>[1]i.Verkehr!E5</f>
        <v>25902.377666666667</v>
      </c>
      <c r="F30" s="105">
        <f>[1]i.Verkehr!F5</f>
        <v>60.902534388713889</v>
      </c>
      <c r="M30" s="106" t="e">
        <f>IF(#REF!=2010,AVERAGE(M27:M28),AVERAGE(M27:M29))</f>
        <v>#REF!</v>
      </c>
      <c r="N30" s="107">
        <v>1900</v>
      </c>
    </row>
    <row r="31" spans="2:14" x14ac:dyDescent="0.25">
      <c r="B31" s="173"/>
      <c r="C31" s="175"/>
      <c r="D31" s="102" t="str">
        <f>[1]i.Verkehr!D6</f>
        <v>Zn-Luft</v>
      </c>
      <c r="E31" s="104">
        <f>[1]i.Verkehr!E6</f>
        <v>71.167666666666662</v>
      </c>
      <c r="F31" s="105">
        <f>[1]i.Verkehr!F6</f>
        <v>0.16733179178793767</v>
      </c>
    </row>
    <row r="32" spans="2:14" x14ac:dyDescent="0.25">
      <c r="B32" s="173"/>
      <c r="C32" s="176"/>
      <c r="D32" s="102" t="str">
        <f>[1]i.Verkehr!D7</f>
        <v>Li</v>
      </c>
      <c r="E32" s="104">
        <f>[1]i.Verkehr!E7</f>
        <v>295.79999999999995</v>
      </c>
      <c r="F32" s="105">
        <f>[1]i.Verkehr!F7</f>
        <v>0.69549482692334941</v>
      </c>
    </row>
    <row r="33" spans="2:28" x14ac:dyDescent="0.25">
      <c r="B33" s="173"/>
      <c r="C33" s="177" t="str">
        <f>[1]i.Verkehr!C8</f>
        <v>Knopfzellen</v>
      </c>
      <c r="D33" s="102" t="str">
        <f>[1]i.Verkehr!D8</f>
        <v>AgO</v>
      </c>
      <c r="E33" s="104">
        <f>[1]i.Verkehr!E8</f>
        <v>30.125</v>
      </c>
      <c r="F33" s="105">
        <f>[1]i.Verkehr!F8</f>
        <v>7.0830904871757625E-2</v>
      </c>
    </row>
    <row r="34" spans="2:28" x14ac:dyDescent="0.25">
      <c r="B34" s="173"/>
      <c r="C34" s="178"/>
      <c r="D34" s="102" t="str">
        <f>[1]i.Verkehr!D9</f>
        <v>AlMn</v>
      </c>
      <c r="E34" s="104">
        <f>[1]i.Verkehr!E9</f>
        <v>401.02610000000004</v>
      </c>
      <c r="F34" s="105">
        <f>[1]i.Verkehr!F9</f>
        <v>0.94290594324288668</v>
      </c>
    </row>
    <row r="35" spans="2:28" x14ac:dyDescent="0.25">
      <c r="B35" s="173"/>
      <c r="C35" s="178"/>
      <c r="D35" s="102" t="str">
        <f>[1]i.Verkehr!D10</f>
        <v>Zn-Luft</v>
      </c>
      <c r="E35" s="104">
        <f>[1]i.Verkehr!E10</f>
        <v>113.824</v>
      </c>
      <c r="F35" s="105">
        <f>[1]i.Verkehr!F10</f>
        <v>0.26762678559744196</v>
      </c>
    </row>
    <row r="36" spans="2:28" x14ac:dyDescent="0.25">
      <c r="B36" s="173"/>
      <c r="C36" s="179"/>
      <c r="D36" s="102" t="str">
        <f>[1]i.Verkehr!D11</f>
        <v>Li</v>
      </c>
      <c r="E36" s="104">
        <f>[1]i.Verkehr!E11</f>
        <v>209.13900000000001</v>
      </c>
      <c r="F36" s="105">
        <f>[1]i.Verkehr!F11</f>
        <v>0.49173459299500477</v>
      </c>
      <c r="M36" s="108"/>
      <c r="N36" s="46">
        <f>M36+1</f>
        <v>1</v>
      </c>
    </row>
    <row r="37" spans="2:28" x14ac:dyDescent="0.25">
      <c r="B37" s="173"/>
      <c r="C37" s="71"/>
      <c r="D37" s="102" t="str">
        <f>[1]i.Verkehr!D12</f>
        <v>Sonstige (HgO)</v>
      </c>
      <c r="E37" s="104">
        <f>[1]i.Verkehr!E12</f>
        <v>1.8879999999999999</v>
      </c>
      <c r="F37" s="105">
        <f>[1]i.Verkehr!F12</f>
        <v>4.4391285775229336E-3</v>
      </c>
      <c r="M37" s="108"/>
      <c r="N37" s="64">
        <v>1218</v>
      </c>
    </row>
    <row r="38" spans="2:28" x14ac:dyDescent="0.25">
      <c r="B38" s="109"/>
      <c r="C38" s="110" t="str">
        <f>[1]i.Verkehr!C13</f>
        <v>Summe</v>
      </c>
      <c r="D38" s="111"/>
      <c r="E38" s="112">
        <f>[1]i.Verkehr!E13</f>
        <v>32366.971099999999</v>
      </c>
      <c r="F38" s="113">
        <f>[1]i.Verkehr!F13</f>
        <v>76.102302106922096</v>
      </c>
    </row>
    <row r="39" spans="2:28" ht="15" customHeight="1" x14ac:dyDescent="0.25">
      <c r="B39" s="180" t="str">
        <f>[1]i.Verkehr!B14</f>
        <v>Sekundärbatterien</v>
      </c>
      <c r="C39" s="184" t="str">
        <f>[1]i.Verkehr!C14</f>
        <v>Rund-/Prismatische Zellen / Blockbatterien</v>
      </c>
      <c r="D39" s="102" t="str">
        <f>[1]i.Verkehr!D14</f>
        <v>AlMn</v>
      </c>
      <c r="E39" s="104">
        <f>[1]i.Verkehr!E14</f>
        <v>32.404000000000003</v>
      </c>
      <c r="F39" s="105">
        <f>[1]i.Verkehr!F14</f>
        <v>7.6189365691765459E-2</v>
      </c>
      <c r="G39" s="64"/>
    </row>
    <row r="40" spans="2:28" x14ac:dyDescent="0.25">
      <c r="B40" s="181"/>
      <c r="C40" s="184"/>
      <c r="D40" s="102" t="str">
        <f>[1]i.Verkehr!D15</f>
        <v>Li-Ion</v>
      </c>
      <c r="E40" s="104">
        <f>[1]i.Verkehr!E15</f>
        <v>5368.8078000000005</v>
      </c>
      <c r="F40" s="105">
        <f>[1]i.Verkehr!F15</f>
        <v>12.623319985279679</v>
      </c>
    </row>
    <row r="41" spans="2:28" x14ac:dyDescent="0.25">
      <c r="B41" s="181"/>
      <c r="C41" s="184"/>
      <c r="D41" s="102" t="str">
        <f>[1]i.Verkehr!D16</f>
        <v>NiMH</v>
      </c>
      <c r="E41" s="104">
        <f>[1]i.Verkehr!E16</f>
        <v>2731.67</v>
      </c>
      <c r="F41" s="105">
        <f>[1]i.Verkehr!F16</f>
        <v>6.4227936236027929</v>
      </c>
      <c r="O41" s="46" t="s">
        <v>59</v>
      </c>
      <c r="P41" s="46">
        <v>1999</v>
      </c>
      <c r="Q41" s="46">
        <f>P41+1</f>
        <v>2000</v>
      </c>
      <c r="R41" s="46">
        <f t="shared" ref="R41:Y41" si="0">Q41+1</f>
        <v>2001</v>
      </c>
      <c r="S41" s="46">
        <f t="shared" si="0"/>
        <v>2002</v>
      </c>
      <c r="T41" s="46">
        <f t="shared" si="0"/>
        <v>2003</v>
      </c>
      <c r="U41" s="46">
        <f t="shared" si="0"/>
        <v>2004</v>
      </c>
      <c r="V41" s="46">
        <f t="shared" si="0"/>
        <v>2005</v>
      </c>
      <c r="W41" s="46">
        <f t="shared" si="0"/>
        <v>2006</v>
      </c>
      <c r="X41" s="46">
        <f t="shared" si="0"/>
        <v>2007</v>
      </c>
      <c r="Y41" s="46">
        <f t="shared" si="0"/>
        <v>2008</v>
      </c>
      <c r="Z41" s="46">
        <f>Y41+1</f>
        <v>2009</v>
      </c>
      <c r="AA41" s="46">
        <v>2010</v>
      </c>
      <c r="AB41" s="46">
        <v>2011</v>
      </c>
    </row>
    <row r="42" spans="2:28" x14ac:dyDescent="0.25">
      <c r="B42" s="181"/>
      <c r="C42" s="184"/>
      <c r="D42" s="102" t="str">
        <f>[1]i.Verkehr!D17</f>
        <v>NiCd</v>
      </c>
      <c r="E42" s="104">
        <f>[1]i.Verkehr!E17</f>
        <v>1188.798</v>
      </c>
      <c r="F42" s="105">
        <f>[1]i.Verkehr!F17</f>
        <v>2.7951415120244221</v>
      </c>
      <c r="O42" s="46" t="s">
        <v>60</v>
      </c>
      <c r="P42" s="46">
        <v>394</v>
      </c>
      <c r="Q42" s="46">
        <v>432</v>
      </c>
      <c r="R42" s="46">
        <v>466</v>
      </c>
      <c r="S42" s="46">
        <v>532</v>
      </c>
      <c r="T42" s="46">
        <v>587</v>
      </c>
      <c r="U42" s="46">
        <v>616</v>
      </c>
      <c r="V42" s="46">
        <v>736</v>
      </c>
      <c r="W42" s="46">
        <v>808</v>
      </c>
      <c r="X42" s="46">
        <v>901</v>
      </c>
      <c r="Y42" s="46">
        <v>991</v>
      </c>
      <c r="Z42" s="64">
        <v>1218</v>
      </c>
      <c r="AA42" s="46">
        <v>2394</v>
      </c>
      <c r="AB42" s="46">
        <v>2536</v>
      </c>
    </row>
    <row r="43" spans="2:28" x14ac:dyDescent="0.25">
      <c r="B43" s="181"/>
      <c r="C43" s="184"/>
      <c r="D43" s="102" t="str">
        <f>[1]i.Verkehr!D18</f>
        <v>Pb</v>
      </c>
      <c r="E43" s="104">
        <f>[1]i.Verkehr!E18</f>
        <v>811.90600000000006</v>
      </c>
      <c r="F43" s="105">
        <f>[1]i.Verkehr!F18</f>
        <v>1.9089804697364066</v>
      </c>
    </row>
    <row r="44" spans="2:28" x14ac:dyDescent="0.25">
      <c r="B44" s="181"/>
      <c r="C44" s="185" t="str">
        <f>[1]i.Verkehr!C19</f>
        <v>Knopfzellen</v>
      </c>
      <c r="D44" s="102" t="str">
        <f>[1]i.Verkehr!D19</f>
        <v>Li-Ion</v>
      </c>
      <c r="E44" s="104">
        <f>[1]i.Verkehr!E19</f>
        <v>17.858000000000001</v>
      </c>
      <c r="F44" s="105">
        <f>[1]i.Verkehr!F19</f>
        <v>4.1988325284642247E-2</v>
      </c>
      <c r="M44" s="114"/>
    </row>
    <row r="45" spans="2:28" x14ac:dyDescent="0.25">
      <c r="B45" s="181"/>
      <c r="C45" s="185"/>
      <c r="D45" s="102" t="str">
        <f>[1]i.Verkehr!D20</f>
        <v>NiMH</v>
      </c>
      <c r="E45" s="104">
        <f>[1]i.Verkehr!E20</f>
        <v>10.123999999999999</v>
      </c>
      <c r="F45" s="105">
        <f>[1]i.Verkehr!F20</f>
        <v>2.3803886503624035E-2</v>
      </c>
    </row>
    <row r="46" spans="2:28" x14ac:dyDescent="0.25">
      <c r="B46" s="181"/>
      <c r="C46" s="185"/>
      <c r="D46" s="102" t="str">
        <f>[1]i.Verkehr!D21</f>
        <v>NiCd</v>
      </c>
      <c r="E46" s="104">
        <f>[1]i.Verkehr!E21</f>
        <v>2.331</v>
      </c>
      <c r="F46" s="105">
        <f>[1]i.Verkehr!F21</f>
        <v>5.4807249545582408E-3</v>
      </c>
    </row>
    <row r="47" spans="2:28" x14ac:dyDescent="0.25">
      <c r="B47" s="182"/>
      <c r="C47" s="88"/>
      <c r="D47" s="102" t="str">
        <f>[1]i.Verkehr!D22</f>
        <v>Sonstige</v>
      </c>
      <c r="E47" s="104">
        <f>[1]i.Verkehr!E22</f>
        <v>0</v>
      </c>
      <c r="F47" s="105">
        <f>[1]i.Verkehr!F22</f>
        <v>0</v>
      </c>
      <c r="M47" s="114"/>
    </row>
    <row r="48" spans="2:28" x14ac:dyDescent="0.25">
      <c r="B48" s="183"/>
      <c r="C48" s="110" t="str">
        <f>[1]i.Verkehr!C23</f>
        <v>Summe</v>
      </c>
      <c r="D48" s="111"/>
      <c r="E48" s="112">
        <f>[1]i.Verkehr!E23</f>
        <v>10163.898800000003</v>
      </c>
      <c r="F48" s="113">
        <f>[1]i.Verkehr!F23</f>
        <v>23.897697893077893</v>
      </c>
    </row>
    <row r="49" spans="2:13" x14ac:dyDescent="0.25">
      <c r="B49" s="115"/>
      <c r="C49" s="110" t="str">
        <f>[1]i.Verkehr!C24</f>
        <v>Gesamt</v>
      </c>
      <c r="D49" s="111"/>
      <c r="E49" s="116">
        <f>[1]i.Verkehr!E24</f>
        <v>42530.869900000005</v>
      </c>
      <c r="F49" s="113">
        <f>[1]i.Verkehr!F24</f>
        <v>99.999999999999986</v>
      </c>
      <c r="M49" s="117"/>
    </row>
    <row r="50" spans="2:13" x14ac:dyDescent="0.25">
      <c r="M50" s="117"/>
    </row>
    <row r="52" spans="2:13" x14ac:dyDescent="0.25">
      <c r="B52" s="48">
        <v>2009</v>
      </c>
      <c r="C52" s="48" t="s">
        <v>10</v>
      </c>
      <c r="D52" s="48" t="s">
        <v>11</v>
      </c>
      <c r="E52" s="152" t="s">
        <v>12</v>
      </c>
      <c r="F52" s="154"/>
    </row>
    <row r="53" spans="2:13" x14ac:dyDescent="0.25">
      <c r="B53" s="51"/>
      <c r="C53" s="51"/>
      <c r="D53" s="52"/>
      <c r="E53" s="53" t="s">
        <v>15</v>
      </c>
      <c r="F53" s="53" t="s">
        <v>16</v>
      </c>
    </row>
    <row r="54" spans="2:13" x14ac:dyDescent="0.25">
      <c r="B54" s="155" t="s">
        <v>18</v>
      </c>
      <c r="C54" s="157" t="s">
        <v>19</v>
      </c>
      <c r="D54" s="52" t="s">
        <v>20</v>
      </c>
      <c r="E54" s="118">
        <f>1737+1449.3+(92.68/3)</f>
        <v>3217.1933333333336</v>
      </c>
      <c r="F54" s="119">
        <f>E54*100/E74</f>
        <v>8.6257590669855766</v>
      </c>
    </row>
    <row r="55" spans="2:13" x14ac:dyDescent="0.25">
      <c r="B55" s="156"/>
      <c r="C55" s="158"/>
      <c r="D55" s="52" t="s">
        <v>24</v>
      </c>
      <c r="E55" s="118">
        <f>23254+3079.4+(92.68/3)</f>
        <v>26364.293333333335</v>
      </c>
      <c r="F55" s="119">
        <f>E55*100/E74</f>
        <v>70.686470691223832</v>
      </c>
    </row>
    <row r="56" spans="2:13" x14ac:dyDescent="0.25">
      <c r="B56" s="156"/>
      <c r="C56" s="158"/>
      <c r="D56" s="52" t="s">
        <v>26</v>
      </c>
      <c r="E56" s="118">
        <f>19+1+(92.68/3)</f>
        <v>50.893333333333331</v>
      </c>
      <c r="F56" s="119">
        <f>E56*100/E74</f>
        <v>0.13645236265433819</v>
      </c>
    </row>
    <row r="57" spans="2:13" x14ac:dyDescent="0.25">
      <c r="B57" s="156"/>
      <c r="C57" s="159"/>
      <c r="D57" s="52" t="s">
        <v>29</v>
      </c>
      <c r="E57" s="118">
        <f>224+42+0.131</f>
        <v>266.13099999999997</v>
      </c>
      <c r="F57" s="119">
        <f>E57*100/E74</f>
        <v>0.71353557228638353</v>
      </c>
    </row>
    <row r="58" spans="2:13" x14ac:dyDescent="0.25">
      <c r="B58" s="156"/>
      <c r="C58" s="161" t="s">
        <v>31</v>
      </c>
      <c r="D58" s="52" t="s">
        <v>32</v>
      </c>
      <c r="E58" s="118">
        <f>28+3+(1.242/4)</f>
        <v>31.310500000000001</v>
      </c>
      <c r="F58" s="119">
        <f>E58*100/E74</f>
        <v>8.3947963732420555E-2</v>
      </c>
    </row>
    <row r="59" spans="2:13" x14ac:dyDescent="0.25">
      <c r="B59" s="156"/>
      <c r="C59" s="162"/>
      <c r="D59" s="52" t="s">
        <v>24</v>
      </c>
      <c r="E59" s="118">
        <f>114+19+(1.242/4)</f>
        <v>133.31049999999999</v>
      </c>
      <c r="F59" s="119">
        <f>E59*100/E74</f>
        <v>0.35742466645856341</v>
      </c>
    </row>
    <row r="60" spans="2:13" x14ac:dyDescent="0.25">
      <c r="B60" s="156"/>
      <c r="C60" s="162"/>
      <c r="D60" s="52" t="s">
        <v>26</v>
      </c>
      <c r="E60" s="118">
        <f>101+(1.242/4)</f>
        <v>101.3105</v>
      </c>
      <c r="F60" s="119">
        <f>E60*100/E74</f>
        <v>0.27162805383859706</v>
      </c>
    </row>
    <row r="61" spans="2:13" x14ac:dyDescent="0.25">
      <c r="B61" s="156"/>
      <c r="C61" s="163"/>
      <c r="D61" s="52" t="s">
        <v>29</v>
      </c>
      <c r="E61" s="118">
        <f>187+11+(1.242/4)</f>
        <v>198.31049999999999</v>
      </c>
      <c r="F61" s="119">
        <f>E61*100/E74</f>
        <v>0.53169903584287015</v>
      </c>
    </row>
    <row r="62" spans="2:13" x14ac:dyDescent="0.25">
      <c r="B62" s="156"/>
      <c r="C62" s="71"/>
      <c r="D62" s="52" t="s">
        <v>61</v>
      </c>
      <c r="E62" s="118">
        <f>0+0.095</f>
        <v>9.5000000000000001E-2</v>
      </c>
      <c r="F62" s="119">
        <f>E62*100/E74</f>
        <v>2.5470869371552521E-4</v>
      </c>
    </row>
    <row r="63" spans="2:13" x14ac:dyDescent="0.25">
      <c r="B63" s="73"/>
      <c r="C63" s="74" t="s">
        <v>38</v>
      </c>
      <c r="D63" s="75"/>
      <c r="E63" s="120">
        <f>SUM(E54:E62)</f>
        <v>30362.848000000002</v>
      </c>
      <c r="F63" s="91">
        <f>SUM(F54:F62)</f>
        <v>81.407172121716329</v>
      </c>
    </row>
    <row r="64" spans="2:13" x14ac:dyDescent="0.25">
      <c r="B64" s="187" t="s">
        <v>39</v>
      </c>
      <c r="C64" s="169" t="s">
        <v>40</v>
      </c>
      <c r="D64" s="52" t="s">
        <v>24</v>
      </c>
      <c r="E64" s="121">
        <v>18</v>
      </c>
      <c r="F64" s="85">
        <f>E64*100/E74</f>
        <v>4.8260594598731096E-2</v>
      </c>
    </row>
    <row r="65" spans="2:8" x14ac:dyDescent="0.25">
      <c r="B65" s="187"/>
      <c r="C65" s="169"/>
      <c r="D65" s="52" t="s">
        <v>42</v>
      </c>
      <c r="E65" s="121">
        <f>3117+83+10.56</f>
        <v>3210.56</v>
      </c>
      <c r="F65" s="85">
        <f>E65*100/E74</f>
        <v>8.6079741441612274</v>
      </c>
    </row>
    <row r="66" spans="2:8" x14ac:dyDescent="0.25">
      <c r="B66" s="187"/>
      <c r="C66" s="169"/>
      <c r="D66" s="52" t="s">
        <v>44</v>
      </c>
      <c r="E66" s="121">
        <f>1821+212+1</f>
        <v>2034</v>
      </c>
      <c r="F66" s="85">
        <f>E66*100/E74</f>
        <v>5.4534471896566137</v>
      </c>
    </row>
    <row r="67" spans="2:8" x14ac:dyDescent="0.25">
      <c r="B67" s="187"/>
      <c r="C67" s="169"/>
      <c r="D67" s="52" t="s">
        <v>46</v>
      </c>
      <c r="E67" s="121">
        <f>692+110+0.043</f>
        <v>802.04300000000001</v>
      </c>
      <c r="F67" s="85">
        <f>E67*100/E74</f>
        <v>2.1503928929861158</v>
      </c>
    </row>
    <row r="68" spans="2:8" x14ac:dyDescent="0.25">
      <c r="B68" s="187"/>
      <c r="C68" s="169"/>
      <c r="D68" s="52" t="s">
        <v>48</v>
      </c>
      <c r="E68" s="121">
        <f>645+207+0.001</f>
        <v>852.00099999999998</v>
      </c>
      <c r="F68" s="85">
        <f>E68*100/E74</f>
        <v>2.2843374921507493</v>
      </c>
    </row>
    <row r="69" spans="2:8" x14ac:dyDescent="0.25">
      <c r="B69" s="187"/>
      <c r="C69" s="171" t="s">
        <v>31</v>
      </c>
      <c r="D69" s="52" t="s">
        <v>42</v>
      </c>
      <c r="E69" s="121">
        <f>9+0.038+(0.872/3)</f>
        <v>9.3286666666666669</v>
      </c>
      <c r="F69" s="85">
        <f>E69*100/E74</f>
        <v>2.5011500008149785E-2</v>
      </c>
    </row>
    <row r="70" spans="2:8" x14ac:dyDescent="0.25">
      <c r="B70" s="187"/>
      <c r="C70" s="171"/>
      <c r="D70" s="52" t="s">
        <v>44</v>
      </c>
      <c r="E70" s="121">
        <f>7+0.0218+(0.872/3)</f>
        <v>7.3124666666666664</v>
      </c>
      <c r="F70" s="85">
        <f>E70*100/E74</f>
        <v>1.9605777184263026E-2</v>
      </c>
    </row>
    <row r="71" spans="2:8" x14ac:dyDescent="0.25">
      <c r="B71" s="187"/>
      <c r="C71" s="171"/>
      <c r="D71" s="52" t="s">
        <v>46</v>
      </c>
      <c r="E71" s="121">
        <f>1+0.126+(0.872/3)</f>
        <v>1.4166666666666665</v>
      </c>
      <c r="F71" s="85">
        <f>E71*100/E74</f>
        <v>3.7982875378630952E-3</v>
      </c>
    </row>
    <row r="72" spans="2:8" x14ac:dyDescent="0.25">
      <c r="B72" s="188"/>
      <c r="C72" s="88"/>
      <c r="D72" s="52" t="s">
        <v>52</v>
      </c>
      <c r="E72" s="121"/>
      <c r="F72" s="85">
        <f>E72*100/E74</f>
        <v>0</v>
      </c>
    </row>
    <row r="73" spans="2:8" x14ac:dyDescent="0.25">
      <c r="B73" s="89"/>
      <c r="C73" s="74" t="s">
        <v>38</v>
      </c>
      <c r="D73" s="75"/>
      <c r="E73" s="120">
        <f>SUM(E64:E72)</f>
        <v>6934.6617999999989</v>
      </c>
      <c r="F73" s="91">
        <f>SUM(F64:F72)</f>
        <v>18.592827878283714</v>
      </c>
    </row>
    <row r="74" spans="2:8" x14ac:dyDescent="0.25">
      <c r="B74" s="89"/>
      <c r="C74" s="74" t="s">
        <v>53</v>
      </c>
      <c r="D74" s="75"/>
      <c r="E74" s="122">
        <f>E63+E73</f>
        <v>37297.5098</v>
      </c>
      <c r="F74" s="91">
        <f>F63+F73</f>
        <v>100.00000000000004</v>
      </c>
    </row>
    <row r="79" spans="2:8" ht="45" x14ac:dyDescent="0.25">
      <c r="D79" s="46">
        <v>2009</v>
      </c>
      <c r="E79" s="46">
        <v>2010</v>
      </c>
      <c r="F79" s="46">
        <v>2011</v>
      </c>
      <c r="G79" s="47" t="s">
        <v>62</v>
      </c>
    </row>
    <row r="80" spans="2:8" x14ac:dyDescent="0.25">
      <c r="B80" s="46" t="s">
        <v>18</v>
      </c>
      <c r="D80" s="123">
        <f>E63</f>
        <v>30362.848000000002</v>
      </c>
      <c r="E80" s="123">
        <f>E38</f>
        <v>32366.971099999999</v>
      </c>
      <c r="F80" s="123">
        <f>E13</f>
        <v>31211.600765999996</v>
      </c>
      <c r="G80" s="46">
        <f>(100*F80/E80)-100</f>
        <v>-3.5695967053277968</v>
      </c>
      <c r="H80" s="123"/>
    </row>
    <row r="81" spans="1:8" x14ac:dyDescent="0.25">
      <c r="B81" s="46" t="s">
        <v>39</v>
      </c>
      <c r="D81" s="123">
        <f>E73</f>
        <v>6934.6617999999989</v>
      </c>
      <c r="E81" s="123">
        <f>E48</f>
        <v>10163.898800000003</v>
      </c>
      <c r="F81" s="123">
        <f>E23</f>
        <v>12122.740000000002</v>
      </c>
      <c r="G81" s="46">
        <f t="shared" ref="G81:G88" si="1">(100*F81/E81)-100</f>
        <v>19.272537424319879</v>
      </c>
    </row>
    <row r="82" spans="1:8" x14ac:dyDescent="0.25">
      <c r="B82" s="46" t="s">
        <v>24</v>
      </c>
      <c r="D82" s="123">
        <f>E55</f>
        <v>26364.293333333335</v>
      </c>
      <c r="E82" s="123">
        <f>E30</f>
        <v>25902.377666666667</v>
      </c>
      <c r="F82" s="123">
        <f>E5</f>
        <v>24162.112333333331</v>
      </c>
      <c r="G82" s="46">
        <f t="shared" si="1"/>
        <v>-6.7185543957721592</v>
      </c>
    </row>
    <row r="83" spans="1:8" x14ac:dyDescent="0.25">
      <c r="B83" s="46" t="s">
        <v>20</v>
      </c>
      <c r="D83" s="123">
        <f>E54</f>
        <v>3217.1933333333336</v>
      </c>
      <c r="E83" s="123">
        <f>E29</f>
        <v>5341.6236666666673</v>
      </c>
      <c r="F83" s="123">
        <f>E4</f>
        <v>5982.2481993333331</v>
      </c>
      <c r="G83" s="46">
        <f t="shared" si="1"/>
        <v>11.993067513616779</v>
      </c>
    </row>
    <row r="84" spans="1:8" x14ac:dyDescent="0.25">
      <c r="B84" s="46" t="s">
        <v>29</v>
      </c>
      <c r="D84" s="123">
        <f>E57+E61</f>
        <v>464.44149999999996</v>
      </c>
      <c r="E84" s="123">
        <f>E32+E36</f>
        <v>504.93899999999996</v>
      </c>
      <c r="F84" s="123">
        <f>E11+E7</f>
        <v>582.99890000000005</v>
      </c>
      <c r="G84" s="46">
        <f t="shared" si="1"/>
        <v>15.459273298358838</v>
      </c>
    </row>
    <row r="85" spans="1:8" x14ac:dyDescent="0.25">
      <c r="B85" s="46" t="s">
        <v>42</v>
      </c>
      <c r="D85" s="123">
        <f>E65+E69</f>
        <v>3219.8886666666667</v>
      </c>
      <c r="E85" s="123">
        <f>E40+E44</f>
        <v>5386.6658000000007</v>
      </c>
      <c r="F85" s="123">
        <f>E15+E19</f>
        <v>6633.1050000000005</v>
      </c>
      <c r="G85" s="46">
        <f t="shared" si="1"/>
        <v>23.139345307072873</v>
      </c>
    </row>
    <row r="86" spans="1:8" x14ac:dyDescent="0.25">
      <c r="A86" s="124"/>
      <c r="B86" s="124" t="s">
        <v>44</v>
      </c>
      <c r="C86" s="124"/>
      <c r="D86" s="125">
        <f>E66+E70</f>
        <v>2041.3124666666668</v>
      </c>
      <c r="E86" s="125">
        <f>E41+E45</f>
        <v>2741.7939999999999</v>
      </c>
      <c r="F86" s="125">
        <f>E16+E20</f>
        <v>3137.6430000000005</v>
      </c>
      <c r="G86" s="124">
        <f t="shared" si="1"/>
        <v>14.437590862041446</v>
      </c>
      <c r="H86" s="123">
        <f>F86-E86</f>
        <v>395.84900000000061</v>
      </c>
    </row>
    <row r="87" spans="1:8" x14ac:dyDescent="0.25">
      <c r="B87" s="46" t="s">
        <v>46</v>
      </c>
      <c r="D87" s="123">
        <f>E67+E71</f>
        <v>803.45966666666664</v>
      </c>
      <c r="E87" s="123">
        <f>E42+E46</f>
        <v>1191.1289999999999</v>
      </c>
      <c r="F87" s="123">
        <f>E17+E21</f>
        <v>1335.867</v>
      </c>
      <c r="G87" s="46">
        <f t="shared" si="1"/>
        <v>12.151328697395485</v>
      </c>
      <c r="H87" s="123">
        <f>F87-E87</f>
        <v>144.73800000000006</v>
      </c>
    </row>
    <row r="88" spans="1:8" x14ac:dyDescent="0.25">
      <c r="B88" s="46" t="s">
        <v>48</v>
      </c>
      <c r="D88" s="123">
        <f>E68</f>
        <v>852.00099999999998</v>
      </c>
      <c r="E88" s="123">
        <f>E43</f>
        <v>811.90600000000006</v>
      </c>
      <c r="F88" s="123">
        <f>E18</f>
        <v>990.47599999999989</v>
      </c>
      <c r="G88" s="46">
        <f t="shared" si="1"/>
        <v>21.993925405157725</v>
      </c>
    </row>
    <row r="113" spans="1:4" x14ac:dyDescent="0.25">
      <c r="B113" s="48" t="s">
        <v>11</v>
      </c>
      <c r="C113" s="53" t="s">
        <v>16</v>
      </c>
    </row>
    <row r="114" spans="1:4" ht="25.5" x14ac:dyDescent="0.25">
      <c r="B114" s="126" t="s">
        <v>18</v>
      </c>
      <c r="C114" s="52"/>
    </row>
    <row r="115" spans="1:4" x14ac:dyDescent="0.25">
      <c r="A115" s="186"/>
      <c r="B115" s="127" t="s">
        <v>63</v>
      </c>
      <c r="C115" s="128">
        <f>F5</f>
        <v>55.757424495749703</v>
      </c>
      <c r="D115" s="186" t="s">
        <v>18</v>
      </c>
    </row>
    <row r="116" spans="1:4" x14ac:dyDescent="0.25">
      <c r="A116" s="186"/>
      <c r="B116" s="129" t="s">
        <v>64</v>
      </c>
      <c r="C116" s="128">
        <f>F4</f>
        <v>13.804867210595688</v>
      </c>
      <c r="D116" s="186"/>
    </row>
    <row r="117" spans="1:4" x14ac:dyDescent="0.25">
      <c r="A117" s="186"/>
      <c r="B117" s="129"/>
      <c r="C117" s="128">
        <f>F31+F32+F33+F34+F35+F36+F37</f>
        <v>2.6403639739959011</v>
      </c>
      <c r="D117" s="186"/>
    </row>
    <row r="118" spans="1:4" ht="26.25" x14ac:dyDescent="0.25">
      <c r="B118" s="130" t="s">
        <v>39</v>
      </c>
      <c r="C118" s="128"/>
      <c r="D118" s="131">
        <f>C115+C116+C117</f>
        <v>72.202655680341294</v>
      </c>
    </row>
    <row r="119" spans="1:4" x14ac:dyDescent="0.25">
      <c r="B119" s="132" t="s">
        <v>65</v>
      </c>
      <c r="C119" s="128"/>
      <c r="D119" s="131"/>
    </row>
    <row r="120" spans="1:4" x14ac:dyDescent="0.25">
      <c r="A120" s="186"/>
      <c r="B120" s="129" t="s">
        <v>66</v>
      </c>
      <c r="C120" s="128">
        <f>F15</f>
        <v>15.270734209927225</v>
      </c>
      <c r="D120" s="186" t="s">
        <v>39</v>
      </c>
    </row>
    <row r="121" spans="1:4" x14ac:dyDescent="0.25">
      <c r="A121" s="186"/>
      <c r="B121" s="129" t="s">
        <v>67</v>
      </c>
      <c r="C121" s="128">
        <f>F16</f>
        <v>7.2194660047871766</v>
      </c>
      <c r="D121" s="186"/>
    </row>
    <row r="122" spans="1:4" x14ac:dyDescent="0.25">
      <c r="A122" s="186"/>
      <c r="B122" s="129" t="s">
        <v>68</v>
      </c>
      <c r="C122" s="128">
        <f>F17</f>
        <v>3.0798507059490094</v>
      </c>
      <c r="D122" s="186"/>
    </row>
    <row r="123" spans="1:4" x14ac:dyDescent="0.25">
      <c r="A123" s="186"/>
      <c r="B123" s="129" t="s">
        <v>69</v>
      </c>
      <c r="C123" s="128">
        <f>F18</f>
        <v>2.2856607080939484</v>
      </c>
      <c r="D123" s="186"/>
    </row>
    <row r="124" spans="1:4" x14ac:dyDescent="0.25">
      <c r="B124" s="52"/>
      <c r="C124" s="133"/>
    </row>
    <row r="125" spans="1:4" x14ac:dyDescent="0.25">
      <c r="B125" s="134" t="s">
        <v>38</v>
      </c>
      <c r="C125" s="133">
        <f>C115+C116+C117+C120+C121+C122+C123</f>
        <v>100.05836730909866</v>
      </c>
      <c r="D125" s="135">
        <f>C120+C121+C122+C123</f>
        <v>27.855711628757362</v>
      </c>
    </row>
  </sheetData>
  <mergeCells count="29">
    <mergeCell ref="A115:A117"/>
    <mergeCell ref="D115:D117"/>
    <mergeCell ref="A120:A123"/>
    <mergeCell ref="D120:D123"/>
    <mergeCell ref="E52:F52"/>
    <mergeCell ref="B54:B62"/>
    <mergeCell ref="C54:C57"/>
    <mergeCell ref="C58:C61"/>
    <mergeCell ref="B64:B72"/>
    <mergeCell ref="C64:C68"/>
    <mergeCell ref="C69:C71"/>
    <mergeCell ref="B29:B37"/>
    <mergeCell ref="C29:C32"/>
    <mergeCell ref="C33:C36"/>
    <mergeCell ref="B39:B48"/>
    <mergeCell ref="C39:C43"/>
    <mergeCell ref="C44:C46"/>
    <mergeCell ref="E27:F27"/>
    <mergeCell ref="E2:F2"/>
    <mergeCell ref="B4:B12"/>
    <mergeCell ref="C4:C7"/>
    <mergeCell ref="K6:K9"/>
    <mergeCell ref="C8:C11"/>
    <mergeCell ref="K10:K13"/>
    <mergeCell ref="B14:B23"/>
    <mergeCell ref="C14:C18"/>
    <mergeCell ref="K16:K20"/>
    <mergeCell ref="C19:C21"/>
    <mergeCell ref="K21:K2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3"/>
  </sheetPr>
  <dimension ref="A1:X25"/>
  <sheetViews>
    <sheetView showGridLines="0" topLeftCell="B1" workbookViewId="0">
      <selection activeCell="E18" sqref="E18"/>
    </sheetView>
  </sheetViews>
  <sheetFormatPr baseColWidth="10" defaultColWidth="11.42578125" defaultRowHeight="12.75" x14ac:dyDescent="0.2"/>
  <cols>
    <col min="1" max="1" width="18" style="7" bestFit="1" customWidth="1"/>
    <col min="2" max="2" width="14.28515625" style="7" customWidth="1"/>
    <col min="3" max="4" width="15.5703125" style="7" customWidth="1"/>
    <col min="5" max="6" width="15.5703125" style="6" customWidth="1"/>
    <col min="7" max="7" width="21.140625" style="6" customWidth="1"/>
    <col min="8" max="9" width="15.5703125" style="6" customWidth="1"/>
    <col min="10" max="10" width="11.42578125" style="6"/>
    <col min="11" max="16384" width="11.42578125" style="7"/>
  </cols>
  <sheetData>
    <row r="1" spans="1:24" x14ac:dyDescent="0.2">
      <c r="A1" s="13" t="s">
        <v>1</v>
      </c>
      <c r="B1" s="190" t="s">
        <v>74</v>
      </c>
      <c r="C1" s="190"/>
      <c r="D1" s="190"/>
      <c r="E1" s="190"/>
      <c r="F1" s="190"/>
      <c r="G1" s="190"/>
      <c r="H1" s="190"/>
      <c r="I1" s="190"/>
    </row>
    <row r="2" spans="1:24" ht="15.95" customHeight="1" x14ac:dyDescent="0.2">
      <c r="A2" s="13" t="s">
        <v>2</v>
      </c>
      <c r="B2" s="191" t="s">
        <v>75</v>
      </c>
      <c r="C2" s="191"/>
      <c r="D2" s="191"/>
      <c r="E2" s="191"/>
      <c r="F2" s="191"/>
      <c r="G2" s="191"/>
      <c r="H2" s="191"/>
      <c r="I2" s="191"/>
    </row>
    <row r="3" spans="1:24" x14ac:dyDescent="0.2">
      <c r="A3" s="13" t="s">
        <v>0</v>
      </c>
      <c r="B3" s="190" t="s">
        <v>76</v>
      </c>
      <c r="C3" s="190"/>
      <c r="D3" s="190"/>
      <c r="E3" s="190"/>
      <c r="F3" s="190"/>
      <c r="G3" s="190"/>
      <c r="H3" s="190"/>
      <c r="I3" s="190"/>
      <c r="X3" s="7" t="str">
        <f>"Quelle: "&amp;Daten!B3</f>
        <v>Quelle: Erfolgskontrollberichte der Rücknahmesysteme für Geräte-Altbatterien 2015 bis 2023</v>
      </c>
    </row>
    <row r="4" spans="1:24" ht="12.75" customHeight="1" x14ac:dyDescent="0.2">
      <c r="A4" s="13" t="s">
        <v>3</v>
      </c>
      <c r="B4" s="192"/>
      <c r="C4" s="193"/>
      <c r="D4" s="193"/>
      <c r="E4" s="193"/>
      <c r="F4" s="193"/>
      <c r="G4" s="193"/>
      <c r="H4" s="193"/>
      <c r="I4" s="194"/>
    </row>
    <row r="5" spans="1:24" x14ac:dyDescent="0.2">
      <c r="A5" s="13" t="s">
        <v>8</v>
      </c>
      <c r="B5" s="191" t="s">
        <v>70</v>
      </c>
      <c r="C5" s="191"/>
      <c r="D5" s="191"/>
      <c r="E5" s="191"/>
      <c r="F5" s="191"/>
      <c r="G5" s="191"/>
      <c r="H5" s="191"/>
      <c r="I5" s="191"/>
    </row>
    <row r="6" spans="1:24" x14ac:dyDescent="0.2">
      <c r="A6" s="13" t="s">
        <v>9</v>
      </c>
      <c r="B6" s="189"/>
      <c r="C6" s="189"/>
      <c r="D6" s="189"/>
      <c r="E6" s="189"/>
      <c r="F6" s="189"/>
      <c r="G6" s="189"/>
      <c r="H6" s="189"/>
      <c r="I6" s="189"/>
    </row>
    <row r="7" spans="1:24" s="140" customFormat="1" x14ac:dyDescent="0.2">
      <c r="E7" s="8"/>
      <c r="F7" s="8"/>
      <c r="G7" s="8"/>
      <c r="H7" s="8"/>
      <c r="I7" s="8"/>
      <c r="J7" s="8"/>
    </row>
    <row r="8" spans="1:24" x14ac:dyDescent="0.2">
      <c r="A8" s="8"/>
      <c r="B8" s="8"/>
      <c r="C8" s="6"/>
      <c r="D8" s="9"/>
    </row>
    <row r="9" spans="1:24" ht="32.25" customHeight="1" x14ac:dyDescent="0.2">
      <c r="A9" s="6"/>
      <c r="B9" s="138"/>
      <c r="C9" s="34" t="s">
        <v>18</v>
      </c>
      <c r="D9" s="34" t="s">
        <v>71</v>
      </c>
      <c r="E9" s="34" t="s">
        <v>24</v>
      </c>
      <c r="F9" s="34" t="s">
        <v>20</v>
      </c>
      <c r="G9" s="34" t="s">
        <v>72</v>
      </c>
      <c r="H9" s="34" t="s">
        <v>44</v>
      </c>
      <c r="I9" s="34" t="s">
        <v>73</v>
      </c>
      <c r="J9" s="10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 ht="18.75" customHeight="1" x14ac:dyDescent="0.2">
      <c r="A10" s="12"/>
      <c r="B10" s="137">
        <v>2015</v>
      </c>
      <c r="C10" s="35">
        <v>32734</v>
      </c>
      <c r="D10" s="35">
        <v>11167</v>
      </c>
      <c r="E10" s="35">
        <v>26662</v>
      </c>
      <c r="F10" s="35">
        <v>4339</v>
      </c>
      <c r="G10" s="143">
        <v>1237</v>
      </c>
      <c r="H10" s="143">
        <v>2581</v>
      </c>
      <c r="I10" s="143">
        <v>6927</v>
      </c>
    </row>
    <row r="11" spans="1:24" ht="18.75" customHeight="1" x14ac:dyDescent="0.2">
      <c r="A11" s="12"/>
      <c r="B11" s="145">
        <v>2016</v>
      </c>
      <c r="C11" s="141">
        <v>33102</v>
      </c>
      <c r="D11" s="141">
        <v>12409</v>
      </c>
      <c r="E11" s="141">
        <v>27195</v>
      </c>
      <c r="F11" s="141">
        <v>4221</v>
      </c>
      <c r="G11" s="144">
        <v>1193</v>
      </c>
      <c r="H11" s="144">
        <v>2103</v>
      </c>
      <c r="I11" s="144">
        <v>8401</v>
      </c>
    </row>
    <row r="12" spans="1:24" ht="18.75" customHeight="1" x14ac:dyDescent="0.2">
      <c r="A12" s="12"/>
      <c r="B12" s="137">
        <v>2017</v>
      </c>
      <c r="C12" s="35">
        <v>34459</v>
      </c>
      <c r="D12" s="35">
        <v>16184</v>
      </c>
      <c r="E12" s="35">
        <v>28773</v>
      </c>
      <c r="F12" s="35">
        <v>3559</v>
      </c>
      <c r="G12" s="143">
        <v>1545</v>
      </c>
      <c r="H12" s="143">
        <v>2616</v>
      </c>
      <c r="I12" s="143">
        <v>10307</v>
      </c>
    </row>
    <row r="13" spans="1:24" ht="18.75" customHeight="1" x14ac:dyDescent="0.2">
      <c r="B13" s="145">
        <v>2018</v>
      </c>
      <c r="C13" s="141">
        <v>37124</v>
      </c>
      <c r="D13" s="141">
        <v>15035</v>
      </c>
      <c r="E13" s="141">
        <v>29411</v>
      </c>
      <c r="F13" s="141">
        <v>4173</v>
      </c>
      <c r="G13" s="144">
        <v>1276</v>
      </c>
      <c r="H13" s="144">
        <v>2351</v>
      </c>
      <c r="I13" s="144">
        <v>10684</v>
      </c>
    </row>
    <row r="14" spans="1:24" ht="18.75" customHeight="1" x14ac:dyDescent="0.2">
      <c r="B14" s="137">
        <v>2019</v>
      </c>
      <c r="C14" s="35">
        <v>38547</v>
      </c>
      <c r="D14" s="35">
        <v>17359</v>
      </c>
      <c r="E14" s="35">
        <v>32146</v>
      </c>
      <c r="F14" s="35">
        <v>4339</v>
      </c>
      <c r="G14" s="143">
        <v>1320</v>
      </c>
      <c r="H14" s="143">
        <v>2180</v>
      </c>
      <c r="I14" s="143">
        <v>12739</v>
      </c>
    </row>
    <row r="15" spans="1:24" ht="18.75" customHeight="1" x14ac:dyDescent="0.2">
      <c r="B15" s="145">
        <v>2020</v>
      </c>
      <c r="C15" s="141">
        <v>46619</v>
      </c>
      <c r="D15" s="141">
        <v>18749</v>
      </c>
      <c r="E15" s="141">
        <v>38390</v>
      </c>
      <c r="F15" s="141">
        <v>5275</v>
      </c>
      <c r="G15" s="144">
        <v>2253</v>
      </c>
      <c r="H15" s="144">
        <v>2448</v>
      </c>
      <c r="I15" s="144">
        <v>14000</v>
      </c>
    </row>
    <row r="16" spans="1:24" ht="18.75" customHeight="1" x14ac:dyDescent="0.2">
      <c r="B16" s="137">
        <v>2021</v>
      </c>
      <c r="C16" s="35">
        <v>42454</v>
      </c>
      <c r="D16" s="35">
        <v>20756</v>
      </c>
      <c r="E16" s="35">
        <v>36665</v>
      </c>
      <c r="F16" s="35">
        <v>3603</v>
      </c>
      <c r="G16" s="143">
        <v>1569</v>
      </c>
      <c r="H16" s="143">
        <v>1980</v>
      </c>
      <c r="I16" s="143">
        <v>16103</v>
      </c>
    </row>
    <row r="17" spans="2:9" ht="18.75" customHeight="1" x14ac:dyDescent="0.2">
      <c r="B17" s="146">
        <v>2022</v>
      </c>
      <c r="C17" s="147">
        <v>41794</v>
      </c>
      <c r="D17" s="147">
        <v>21340</v>
      </c>
      <c r="E17" s="147">
        <v>35744</v>
      </c>
      <c r="F17" s="147">
        <v>3993</v>
      </c>
      <c r="G17" s="148">
        <v>1756</v>
      </c>
      <c r="H17" s="148">
        <v>1927</v>
      </c>
      <c r="I17" s="148">
        <v>16763</v>
      </c>
    </row>
    <row r="18" spans="2:9" ht="18.75" customHeight="1" x14ac:dyDescent="0.2">
      <c r="B18" s="149">
        <v>2023</v>
      </c>
      <c r="C18" s="150">
        <v>35396</v>
      </c>
      <c r="D18" s="150">
        <v>19801</v>
      </c>
      <c r="E18" s="150">
        <v>29240</v>
      </c>
      <c r="F18" s="150">
        <v>3471</v>
      </c>
      <c r="G18" s="151">
        <v>2185</v>
      </c>
      <c r="H18" s="151">
        <v>1551</v>
      </c>
      <c r="I18" s="151">
        <v>15623</v>
      </c>
    </row>
    <row r="20" spans="2:9" x14ac:dyDescent="0.2">
      <c r="B20"/>
      <c r="C20"/>
      <c r="D20"/>
      <c r="E20"/>
      <c r="F20"/>
      <c r="G20"/>
      <c r="H20"/>
    </row>
    <row r="21" spans="2:9" x14ac:dyDescent="0.2">
      <c r="B21"/>
      <c r="C21"/>
      <c r="D21" s="136"/>
      <c r="E21" s="136"/>
      <c r="F21" s="136"/>
      <c r="G21" s="136"/>
      <c r="H21" s="136"/>
    </row>
    <row r="22" spans="2:9" x14ac:dyDescent="0.2">
      <c r="B22"/>
      <c r="C22"/>
      <c r="D22" s="136"/>
      <c r="E22" s="136"/>
      <c r="F22" s="136"/>
      <c r="G22" s="136"/>
      <c r="H22" s="136"/>
    </row>
    <row r="23" spans="2:9" x14ac:dyDescent="0.2">
      <c r="B23"/>
      <c r="C23"/>
      <c r="D23" s="136"/>
      <c r="E23" s="136"/>
      <c r="F23" s="136"/>
      <c r="G23" s="136"/>
      <c r="H23" s="136"/>
    </row>
    <row r="24" spans="2:9" x14ac:dyDescent="0.2">
      <c r="B24"/>
      <c r="C24"/>
      <c r="D24" s="136"/>
      <c r="E24" s="136"/>
      <c r="F24" s="136"/>
      <c r="G24" s="136"/>
      <c r="H24" s="136"/>
    </row>
    <row r="25" spans="2:9" x14ac:dyDescent="0.2">
      <c r="B25"/>
      <c r="C25"/>
      <c r="D25" s="136"/>
      <c r="E25" s="136"/>
      <c r="F25" s="136"/>
      <c r="G25" s="136"/>
      <c r="H25" s="136"/>
    </row>
  </sheetData>
  <sheetProtection selectLockedCells="1"/>
  <mergeCells count="6">
    <mergeCell ref="B6:I6"/>
    <mergeCell ref="B1:I1"/>
    <mergeCell ref="B2:I2"/>
    <mergeCell ref="B3:I3"/>
    <mergeCell ref="B4:I4"/>
    <mergeCell ref="B5:I5"/>
  </mergeCells>
  <phoneticPr fontId="20" type="noConversion"/>
  <conditionalFormatting sqref="J9:X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  <pageSetUpPr fitToPage="1"/>
  </sheetPr>
  <dimension ref="A1:Y34"/>
  <sheetViews>
    <sheetView showGridLines="0" tabSelected="1" zoomScale="130" zoomScaleNormal="130" workbookViewId="0">
      <selection sqref="A1:O21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28515625" style="1" customWidth="1"/>
    <col min="12" max="12" width="1.7109375" style="1" customWidth="1"/>
    <col min="13" max="13" width="14" style="1" customWidth="1"/>
    <col min="14" max="14" width="3.140625" style="1" customWidth="1"/>
    <col min="15" max="15" width="1.71093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8"/>
    </row>
    <row r="2" spans="1:25" ht="20.25" customHeight="1" x14ac:dyDescent="0.2">
      <c r="A2" s="3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95" t="s">
        <v>7</v>
      </c>
      <c r="R2" s="196"/>
      <c r="S2" s="196"/>
      <c r="T2" s="196"/>
      <c r="U2" s="196"/>
      <c r="V2" s="196"/>
      <c r="W2" s="196"/>
      <c r="X2" s="196"/>
      <c r="Y2" s="197"/>
    </row>
    <row r="3" spans="1:25" ht="18.75" customHeight="1" x14ac:dyDescent="0.3">
      <c r="A3" s="3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40"/>
      <c r="Q3" s="19"/>
      <c r="R3" s="20"/>
      <c r="S3" s="21"/>
      <c r="T3" s="20"/>
      <c r="U3" s="20"/>
      <c r="V3" s="21"/>
      <c r="W3" s="20"/>
      <c r="X3" s="20"/>
      <c r="Y3" s="22"/>
    </row>
    <row r="4" spans="1:25" ht="15.95" customHeight="1" x14ac:dyDescent="0.2">
      <c r="A4" s="3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40"/>
      <c r="Q4" s="19"/>
      <c r="R4" s="20"/>
      <c r="S4" s="20"/>
      <c r="T4" s="20"/>
      <c r="U4" s="20"/>
      <c r="V4" s="20"/>
      <c r="W4" s="20"/>
      <c r="X4" s="20"/>
      <c r="Y4" s="22"/>
    </row>
    <row r="5" spans="1:25" ht="7.5" customHeight="1" x14ac:dyDescent="0.2">
      <c r="A5" s="39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40"/>
      <c r="Q5" s="23"/>
      <c r="R5" s="24"/>
      <c r="S5" s="24"/>
      <c r="T5" s="24"/>
      <c r="U5" s="24"/>
      <c r="V5" s="24"/>
      <c r="W5" s="24"/>
      <c r="X5" s="24"/>
      <c r="Y5" s="25"/>
    </row>
    <row r="6" spans="1:25" ht="16.5" customHeight="1" x14ac:dyDescent="0.2">
      <c r="A6" s="39"/>
      <c r="C6" s="3"/>
      <c r="O6" s="40"/>
      <c r="Q6" s="23"/>
      <c r="R6" s="24"/>
      <c r="S6" s="24"/>
      <c r="T6" s="24"/>
      <c r="U6" s="24"/>
      <c r="V6" s="24"/>
      <c r="W6" s="24"/>
      <c r="X6" s="24"/>
      <c r="Y6" s="25"/>
    </row>
    <row r="7" spans="1:25" ht="16.5" customHeight="1" x14ac:dyDescent="0.2">
      <c r="A7" s="39"/>
      <c r="C7" s="3"/>
      <c r="O7" s="40"/>
      <c r="Q7" s="23"/>
      <c r="R7" s="24"/>
      <c r="S7" s="24"/>
      <c r="T7" s="24"/>
      <c r="U7" s="24"/>
      <c r="V7" s="24"/>
      <c r="W7" s="24"/>
      <c r="X7" s="24"/>
      <c r="Y7" s="25"/>
    </row>
    <row r="8" spans="1:25" ht="16.5" customHeight="1" x14ac:dyDescent="0.2">
      <c r="A8" s="39"/>
      <c r="C8" s="3"/>
      <c r="O8" s="40"/>
      <c r="Q8" s="23"/>
      <c r="R8" s="24"/>
      <c r="S8" s="24"/>
      <c r="T8" s="24"/>
      <c r="U8" s="24"/>
      <c r="V8" s="24"/>
      <c r="W8" s="24"/>
      <c r="X8" s="24"/>
      <c r="Y8" s="25"/>
    </row>
    <row r="9" spans="1:25" ht="16.5" customHeight="1" x14ac:dyDescent="0.2">
      <c r="A9" s="39"/>
      <c r="C9" s="3"/>
      <c r="O9" s="40"/>
      <c r="Q9" s="23"/>
      <c r="R9" s="24"/>
      <c r="S9" s="24"/>
      <c r="T9" s="24"/>
      <c r="U9" s="24"/>
      <c r="V9" s="24"/>
      <c r="W9" s="24"/>
      <c r="X9" s="24"/>
      <c r="Y9" s="25"/>
    </row>
    <row r="10" spans="1:25" ht="16.5" customHeight="1" x14ac:dyDescent="0.2">
      <c r="A10" s="39"/>
      <c r="C10" s="3"/>
      <c r="O10" s="40"/>
      <c r="Q10" s="23"/>
      <c r="R10" s="24"/>
      <c r="S10" s="24"/>
      <c r="T10" s="24"/>
      <c r="U10" s="24"/>
      <c r="V10" s="24"/>
      <c r="W10" s="24"/>
      <c r="X10" s="24"/>
      <c r="Y10" s="25"/>
    </row>
    <row r="11" spans="1:25" ht="16.5" customHeight="1" x14ac:dyDescent="0.2">
      <c r="A11" s="39"/>
      <c r="C11" s="3"/>
      <c r="O11" s="40"/>
      <c r="Q11" s="23"/>
      <c r="R11" s="26" t="s">
        <v>4</v>
      </c>
      <c r="S11" s="24"/>
      <c r="T11" s="24"/>
      <c r="U11" s="24"/>
      <c r="V11" s="24"/>
      <c r="W11" s="24"/>
      <c r="X11" s="24"/>
      <c r="Y11" s="25"/>
    </row>
    <row r="12" spans="1:25" ht="16.5" customHeight="1" x14ac:dyDescent="0.2">
      <c r="A12" s="39"/>
      <c r="C12" s="3"/>
      <c r="O12" s="40"/>
      <c r="Q12" s="23"/>
      <c r="R12" s="24"/>
      <c r="S12" s="24"/>
      <c r="T12" s="24"/>
      <c r="U12" s="24"/>
      <c r="V12" s="24"/>
      <c r="W12" s="24"/>
      <c r="X12" s="24"/>
      <c r="Y12" s="25"/>
    </row>
    <row r="13" spans="1:25" ht="17.25" customHeight="1" x14ac:dyDescent="0.2">
      <c r="A13" s="39"/>
      <c r="C13" s="3"/>
      <c r="O13" s="40"/>
      <c r="Q13" s="23"/>
      <c r="R13" s="26" t="s">
        <v>5</v>
      </c>
      <c r="S13" s="24"/>
      <c r="T13" s="24"/>
      <c r="U13" s="24"/>
      <c r="V13" s="24"/>
      <c r="W13" s="24"/>
      <c r="X13" s="24"/>
      <c r="Y13" s="25"/>
    </row>
    <row r="14" spans="1:25" ht="16.5" customHeight="1" x14ac:dyDescent="0.2">
      <c r="A14" s="39"/>
      <c r="C14" s="3"/>
      <c r="O14" s="40"/>
      <c r="Q14" s="23"/>
      <c r="R14" s="24"/>
      <c r="S14" s="24"/>
      <c r="T14" s="24"/>
      <c r="U14" s="24"/>
      <c r="V14" s="24"/>
      <c r="W14" s="24"/>
      <c r="X14" s="24"/>
      <c r="Y14" s="25"/>
    </row>
    <row r="15" spans="1:25" ht="16.5" customHeight="1" x14ac:dyDescent="0.2">
      <c r="A15" s="39"/>
      <c r="C15" s="3"/>
      <c r="O15" s="40"/>
      <c r="Q15" s="23"/>
      <c r="R15" s="24"/>
      <c r="S15" s="26" t="s">
        <v>6</v>
      </c>
      <c r="T15" s="24"/>
      <c r="U15" s="24"/>
      <c r="V15" s="26" t="s">
        <v>6</v>
      </c>
      <c r="W15" s="24"/>
      <c r="X15" s="24"/>
      <c r="Y15" s="25"/>
    </row>
    <row r="16" spans="1:25" ht="16.5" customHeight="1" x14ac:dyDescent="0.2">
      <c r="A16" s="39"/>
      <c r="C16" s="3"/>
      <c r="O16" s="40"/>
      <c r="Q16" s="23"/>
      <c r="R16" s="24"/>
      <c r="S16" s="24"/>
      <c r="T16" s="24"/>
      <c r="U16" s="24"/>
      <c r="V16" s="24"/>
      <c r="W16" s="24"/>
      <c r="X16" s="24"/>
      <c r="Y16" s="25"/>
    </row>
    <row r="17" spans="1:25" ht="16.5" customHeight="1" x14ac:dyDescent="0.2">
      <c r="A17" s="39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41"/>
      <c r="P17" s="14"/>
      <c r="Q17" s="23"/>
      <c r="R17" s="24"/>
      <c r="S17" s="24"/>
      <c r="T17" s="24"/>
      <c r="U17" s="24"/>
      <c r="V17" s="24"/>
      <c r="W17" s="24"/>
      <c r="X17" s="24"/>
      <c r="Y17" s="25"/>
    </row>
    <row r="18" spans="1:25" ht="22.5" customHeight="1" x14ac:dyDescent="0.2">
      <c r="A18" s="39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41"/>
      <c r="P18" s="14"/>
      <c r="Q18" s="23"/>
      <c r="R18" s="24"/>
      <c r="S18" s="24"/>
      <c r="T18" s="24"/>
      <c r="U18" s="24"/>
      <c r="V18" s="24"/>
      <c r="W18" s="24"/>
      <c r="X18" s="24"/>
      <c r="Y18" s="25"/>
    </row>
    <row r="19" spans="1:25" ht="87" customHeight="1" x14ac:dyDescent="0.2">
      <c r="A19" s="39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41"/>
      <c r="P19" s="14"/>
      <c r="Q19" s="27"/>
      <c r="R19" s="28"/>
      <c r="S19" s="28"/>
      <c r="T19" s="28"/>
      <c r="U19" s="28"/>
      <c r="V19" s="28"/>
      <c r="W19" s="28"/>
      <c r="X19" s="28"/>
      <c r="Y19" s="29"/>
    </row>
    <row r="20" spans="1:25" ht="6" customHeight="1" x14ac:dyDescent="0.2">
      <c r="A20" s="39"/>
      <c r="B20" s="16"/>
      <c r="C20" s="17"/>
      <c r="D20" s="16"/>
      <c r="E20" s="142"/>
      <c r="F20" s="16"/>
      <c r="G20" s="142"/>
      <c r="H20" s="16"/>
      <c r="I20" s="142"/>
      <c r="J20" s="16"/>
      <c r="K20" s="142"/>
      <c r="L20" s="16"/>
      <c r="M20" s="142"/>
      <c r="N20" s="16"/>
      <c r="O20" s="41"/>
      <c r="P20" s="14"/>
    </row>
    <row r="21" spans="1:25" ht="15.75" customHeight="1" x14ac:dyDescent="0.2">
      <c r="A21" s="42"/>
      <c r="B21" s="43"/>
      <c r="C21" s="44"/>
      <c r="D21" s="43"/>
      <c r="E21" s="139"/>
      <c r="F21" s="43"/>
      <c r="G21" s="139"/>
      <c r="H21" s="43"/>
      <c r="I21" s="139"/>
      <c r="J21" s="43"/>
      <c r="K21" s="139"/>
      <c r="L21" s="43"/>
      <c r="M21" s="139"/>
      <c r="N21" s="43"/>
      <c r="O21" s="45"/>
      <c r="P21" s="14"/>
    </row>
    <row r="22" spans="1:25" ht="16.5" customHeight="1" x14ac:dyDescent="0.2">
      <c r="B22" s="14"/>
      <c r="C22" s="15"/>
      <c r="D22" s="18"/>
      <c r="E22" s="18"/>
      <c r="F22" s="18"/>
      <c r="G22" s="18"/>
      <c r="H22" s="18"/>
      <c r="I22" s="18"/>
      <c r="J22" s="18"/>
      <c r="K22" s="18"/>
      <c r="L22" s="18"/>
      <c r="M22" s="14"/>
      <c r="N22" s="14"/>
      <c r="O22" s="14"/>
      <c r="P22" s="14"/>
    </row>
    <row r="23" spans="1:25" ht="21.75" customHeight="1" x14ac:dyDescent="0.2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25" ht="6.75" customHeight="1" x14ac:dyDescent="0.2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25" ht="6" customHeight="1" x14ac:dyDescent="0.2">
      <c r="B25" s="30"/>
      <c r="C25" s="30"/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</row>
    <row r="26" spans="1:25" ht="4.5" customHeight="1" x14ac:dyDescent="0.2">
      <c r="B26" s="30"/>
      <c r="C26" s="30"/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</row>
    <row r="27" spans="1:25" ht="6" customHeight="1" x14ac:dyDescent="0.2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25" ht="6.75" customHeight="1" x14ac:dyDescent="0.2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25" ht="4.5" customHeight="1" x14ac:dyDescent="0.2">
      <c r="B29" s="14"/>
      <c r="C29" s="14"/>
      <c r="D29" s="14"/>
      <c r="E29" s="14"/>
      <c r="F29" s="14"/>
      <c r="G29" s="14"/>
      <c r="H29" s="32"/>
      <c r="I29" s="32"/>
      <c r="J29" s="32"/>
      <c r="K29" s="32"/>
      <c r="L29" s="32"/>
      <c r="M29" s="14"/>
      <c r="N29" s="14"/>
      <c r="O29" s="14"/>
      <c r="P29" s="14"/>
    </row>
    <row r="30" spans="1:25" ht="18" customHeight="1" x14ac:dyDescent="0.2">
      <c r="B30" s="33"/>
      <c r="C30" s="33"/>
      <c r="D30" s="33"/>
      <c r="E30" s="33"/>
      <c r="F30" s="33"/>
      <c r="G30" s="32"/>
      <c r="H30" s="32"/>
      <c r="I30" s="32"/>
      <c r="J30" s="32"/>
      <c r="K30" s="32"/>
      <c r="L30" s="32"/>
      <c r="M30" s="14"/>
      <c r="N30" s="14"/>
      <c r="O30" s="14"/>
      <c r="P30" s="14"/>
    </row>
    <row r="31" spans="1:25" x14ac:dyDescent="0.2">
      <c r="B31" s="33"/>
      <c r="C31" s="33"/>
      <c r="D31" s="33"/>
      <c r="E31" s="33"/>
      <c r="F31" s="33"/>
      <c r="G31" s="32"/>
      <c r="H31" s="32"/>
      <c r="I31" s="32"/>
      <c r="J31" s="32"/>
      <c r="K31" s="32"/>
      <c r="L31" s="32"/>
      <c r="M31" s="14"/>
      <c r="N31" s="14"/>
      <c r="O31" s="14"/>
      <c r="P31" s="14"/>
    </row>
    <row r="32" spans="1:25" x14ac:dyDescent="0.2">
      <c r="B32" s="33"/>
      <c r="C32" s="33"/>
      <c r="D32" s="33"/>
      <c r="E32" s="33"/>
      <c r="F32" s="33"/>
      <c r="G32" s="32"/>
      <c r="H32" s="32"/>
      <c r="I32" s="32"/>
      <c r="J32" s="32"/>
      <c r="K32" s="32"/>
      <c r="L32" s="32"/>
      <c r="M32" s="14"/>
      <c r="N32" s="14"/>
      <c r="O32" s="14"/>
      <c r="P32" s="14"/>
    </row>
    <row r="33" spans="2:16" x14ac:dyDescent="0.2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2:16" x14ac:dyDescent="0.2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Vorberechn-Verkehr-2011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Vogel, Tommy</cp:lastModifiedBy>
  <cp:lastPrinted>2017-11-24T09:56:35Z</cp:lastPrinted>
  <dcterms:created xsi:type="dcterms:W3CDTF">2010-08-25T11:28:54Z</dcterms:created>
  <dcterms:modified xsi:type="dcterms:W3CDTF">2024-10-23T09:01:37Z</dcterms:modified>
</cp:coreProperties>
</file>