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08_RESSOURCEN-ABFALL\8-8_Rohstoffe-Ressource\8-8-1_Inlaend-Entnahme\"/>
    </mc:Choice>
  </mc:AlternateContent>
  <bookViews>
    <workbookView xWindow="-15" yWindow="45" windowWidth="23640" windowHeight="9480" tabRatio="802" activeTab="1"/>
  </bookViews>
  <sheets>
    <sheet name="Daten" sheetId="1" r:id="rId1"/>
    <sheet name="Diagramm" sheetId="17" r:id="rId2"/>
  </sheets>
  <definedNames>
    <definedName name="Beschriftung">OFFSET(Daten!$B$10,0,0,COUNTA(Daten!$B$10:$B$26),-1)</definedName>
    <definedName name="Daten01">OFFSET(Daten!$C$10,0,0,COUNTA(Daten!$C$10:$C$26),-1)</definedName>
    <definedName name="Daten02">OFFSET(Daten!$D$10,0,0,COUNTA(Daten!$D$10:$D$26),-1)</definedName>
    <definedName name="Daten03">OFFSET(Daten!$E$10,0,0,COUNTA(Daten!$E$10:$E$26),-1)</definedName>
    <definedName name="Daten04">OFFSET(Daten!$H$10,0,0,COUNTA(Daten!$H$10:$H$26),-1)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52511"/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W3" i="1" l="1"/>
</calcChain>
</file>

<file path=xl/sharedStrings.xml><?xml version="1.0" encoding="utf-8"?>
<sst xmlns="http://schemas.openxmlformats.org/spreadsheetml/2006/main" count="21" uniqueCount="20">
  <si>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</si>
  <si>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</si>
  <si>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</si>
  <si>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</si>
  <si>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</si>
  <si>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</si>
  <si>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</si>
  <si>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</si>
  <si>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</si>
  <si>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</si>
  <si>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Inländische Rohstoffentnahme</t>
  </si>
  <si>
    <t>Biotische Rohstoffe</t>
  </si>
  <si>
    <t>Baumineralien</t>
  </si>
  <si>
    <t>Energieträger</t>
  </si>
  <si>
    <t>Industriemineralien</t>
  </si>
  <si>
    <t>Gesamtwerte</t>
  </si>
  <si>
    <t>Millionen Tonnen</t>
  </si>
  <si>
    <t>Erze*</t>
  </si>
  <si>
    <t>* Werte der Kategorie "Erze" liegen in der Größenordnung 0,1 bis 0,5 Millionen Tonnen. Die Kategorie ist daher in der Abbildung nicht sichtbar.</t>
  </si>
  <si>
    <t>Statistisches Bundesamt 2017, Umweltnutzung und Wirtschaft - Tabellen zu den Umweltökonomischen Gesamtrechnungen 2017, Teil 4, Tabelle 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</si>
</sst>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164" formatCode="&quot;Quelle:&quot;\ @"/>
    <numFmt numFmtId="165" formatCode="###\ ###\ ##0;[Red]\-###\ ###\ ##0;\-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_);_(* \(#,##0\);_(* &quot;-&quot;_);_(@_)"/>
    <numFmt numFmtId="185" formatCode="_(&quot;$&quot;* #,##0_);_(&quot;$&quot;* \(#,##0\);_(&quot;$&quot;* &quot;-&quot;_);_(@_)"/>
    <numFmt numFmtId="186" formatCode="###\ ##0.0;[Red]\-###\ ##0.0;\-"/>
    <numFmt numFmtId="187" formatCode="#,##0.0"/>
  </numFmts>
  <fonts count="3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7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5" fontId="31" fillId="0" borderId="0">
      <alignment horizontal="right" indent="1"/>
    </xf>
    <xf numFmtId="166" fontId="19" fillId="0" borderId="0"/>
    <xf numFmtId="49" fontId="19" fillId="0" borderId="0"/>
    <xf numFmtId="167" fontId="19" fillId="0" borderId="0">
      <alignment horizontal="center"/>
    </xf>
    <xf numFmtId="168" fontId="19" fillId="0" borderId="0"/>
    <xf numFmtId="169" fontId="19" fillId="0" borderId="0"/>
    <xf numFmtId="170" fontId="19" fillId="0" borderId="0"/>
    <xf numFmtId="171" fontId="19" fillId="0" borderId="0"/>
    <xf numFmtId="172" fontId="33" fillId="0" borderId="0"/>
    <xf numFmtId="173" fontId="34" fillId="0" borderId="0"/>
    <xf numFmtId="174" fontId="33" fillId="0" borderId="0"/>
    <xf numFmtId="175" fontId="19" fillId="0" borderId="0"/>
    <xf numFmtId="176" fontId="19" fillId="0" borderId="0"/>
    <xf numFmtId="177" fontId="19" fillId="0" borderId="0"/>
    <xf numFmtId="178" fontId="33" fillId="0" borderId="0"/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32" fillId="0" borderId="11" applyFill="0" applyBorder="0">
      <alignment horizontal="right" indent="1"/>
    </xf>
    <xf numFmtId="0" fontId="19" fillId="0" borderId="25"/>
    <xf numFmtId="166" fontId="33" fillId="0" borderId="0"/>
    <xf numFmtId="49" fontId="33" fillId="0" borderId="0"/>
    <xf numFmtId="49" fontId="35" fillId="0" borderId="27" applyNumberFormat="0" applyFont="0" applyFill="0" applyBorder="0" applyProtection="0">
      <alignment horizontal="left" vertical="center" indent="5"/>
    </xf>
    <xf numFmtId="0" fontId="35" fillId="0" borderId="28">
      <alignment horizontal="left" vertical="center" wrapText="1" indent="2"/>
    </xf>
    <xf numFmtId="0" fontId="36" fillId="0" borderId="0" applyNumberFormat="0" applyFill="0" applyBorder="0" applyAlignment="0" applyProtection="0">
      <alignment vertical="top"/>
      <protection locked="0"/>
    </xf>
    <xf numFmtId="0" fontId="31" fillId="0" borderId="0"/>
  </cellStyleXfs>
  <cellXfs count="6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/>
    <xf numFmtId="0" fontId="25" fillId="24" borderId="17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187" fontId="37" fillId="24" borderId="29" xfId="0" applyNumberFormat="1" applyFont="1" applyFill="1" applyBorder="1" applyAlignment="1">
      <alignment horizontal="right" vertical="center" wrapText="1" indent="4"/>
    </xf>
    <xf numFmtId="187" fontId="37" fillId="26" borderId="29" xfId="0" applyNumberFormat="1" applyFont="1" applyFill="1" applyBorder="1" applyAlignment="1">
      <alignment horizontal="right" vertical="center" wrapText="1" indent="4"/>
    </xf>
    <xf numFmtId="187" fontId="37" fillId="24" borderId="30" xfId="0" applyNumberFormat="1" applyFont="1" applyFill="1" applyBorder="1" applyAlignment="1">
      <alignment horizontal="right" vertical="center" wrapText="1" indent="3"/>
    </xf>
    <xf numFmtId="187" fontId="37" fillId="26" borderId="30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74">
    <cellStyle name="0mitP" xfId="45"/>
    <cellStyle name="0ohneP" xfId="46"/>
    <cellStyle name="10mitP" xfId="47"/>
    <cellStyle name="12mitP" xfId="48"/>
    <cellStyle name="12ohneP" xfId="49"/>
    <cellStyle name="13mitP" xfId="50"/>
    <cellStyle name="1mitP" xfId="51"/>
    <cellStyle name="1ohneP" xfId="52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/>
    <cellStyle name="2ohneP" xfId="54"/>
    <cellStyle name="3mitP" xfId="55"/>
    <cellStyle name="3ohneP" xfId="56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/>
    <cellStyle name="4ohneP" xfId="58"/>
    <cellStyle name="5x indented GHG Textfiels" xfId="70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/>
    <cellStyle name="6ohneP" xfId="60"/>
    <cellStyle name="7mitP" xfId="61"/>
    <cellStyle name="9mitP" xfId="62"/>
    <cellStyle name="9ohneP" xfId="63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/>
    <cellStyle name="Currency [0]" xfId="65"/>
    <cellStyle name="CustomizationCells" xfId="71"/>
    <cellStyle name="Eine_Nachkommastelle" xfId="66"/>
    <cellStyle name="Eingabe" xfId="27" builtinId="20" customBuiltin="1"/>
    <cellStyle name="Ergebnis" xfId="28" builtinId="25" customBuiltin="1"/>
    <cellStyle name="Erklärender Text" xfId="29" builtinId="53" customBuiltin="1"/>
    <cellStyle name="Fuss" xfId="67"/>
    <cellStyle name="Gut" xfId="30" builtinId="26" customBuiltin="1"/>
    <cellStyle name="Hyperlink 2" xfId="72"/>
    <cellStyle name="mitP" xfId="68"/>
    <cellStyle name="Neutral" xfId="31" builtinId="28" customBuiltin="1"/>
    <cellStyle name="Notiz" xfId="32" builtinId="10" customBuiltin="1"/>
    <cellStyle name="Ohne_Nachkomma" xfId="44"/>
    <cellStyle name="ohneP" xfId="69"/>
    <cellStyle name="Prozent 2" xfId="43"/>
    <cellStyle name="Schlecht" xfId="33" builtinId="27" customBuiltin="1"/>
    <cellStyle name="Standard" xfId="0" builtinId="0"/>
    <cellStyle name="Standard 2" xfId="42"/>
    <cellStyle name="Standard 3" xfId="73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4B4B4D"/>
      <color rgb="FF333333"/>
      <color rgb="FFE6E6E6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09801664890173E-2"/>
          <c:y val="6.3043639327257914E-2"/>
          <c:w val="0.85603402801845807"/>
          <c:h val="0.6832581532279504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Biotische Rohstoffe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numRef>
              <c:f>Daten!$B$10:$B$31</c:f>
              <c:numCache>
                <c:formatCode>General</c:formatCode>
                <c:ptCount val="22"/>
                <c:pt idx="1">
                  <c:v>1995</c:v>
                </c:pt>
                <c:pt idx="6">
                  <c:v>2000</c:v>
                </c:pt>
                <c:pt idx="11">
                  <c:v>2005</c:v>
                </c:pt>
                <c:pt idx="16">
                  <c:v>2010</c:v>
                </c:pt>
                <c:pt idx="21">
                  <c:v>2015</c:v>
                </c:pt>
              </c:numCache>
            </c:numRef>
          </c:cat>
          <c:val>
            <c:numRef>
              <c:f>Daten!$C$10:$C$31</c:f>
              <c:numCache>
                <c:formatCode>#,##0.0</c:formatCode>
                <c:ptCount val="22"/>
                <c:pt idx="0">
                  <c:v>211.98138148887497</c:v>
                </c:pt>
                <c:pt idx="1">
                  <c:v>221.19766601500612</c:v>
                </c:pt>
                <c:pt idx="2">
                  <c:v>235.73926448321936</c:v>
                </c:pt>
                <c:pt idx="3">
                  <c:v>237.95580928061264</c:v>
                </c:pt>
                <c:pt idx="4">
                  <c:v>238.59271530776266</c:v>
                </c:pt>
                <c:pt idx="5">
                  <c:v>236.70992414028296</c:v>
                </c:pt>
                <c:pt idx="6">
                  <c:v>246.2025332269146</c:v>
                </c:pt>
                <c:pt idx="7">
                  <c:v>237.51985584634053</c:v>
                </c:pt>
                <c:pt idx="8">
                  <c:v>230.62465041276022</c:v>
                </c:pt>
                <c:pt idx="9">
                  <c:v>207.46312720876242</c:v>
                </c:pt>
                <c:pt idx="10">
                  <c:v>254.55556486649195</c:v>
                </c:pt>
                <c:pt idx="11">
                  <c:v>247.67700264929186</c:v>
                </c:pt>
                <c:pt idx="12">
                  <c:v>234.36765035695223</c:v>
                </c:pt>
                <c:pt idx="13">
                  <c:v>262.32373891532683</c:v>
                </c:pt>
                <c:pt idx="14">
                  <c:v>263.38908820795143</c:v>
                </c:pt>
                <c:pt idx="15">
                  <c:v>267.97153963602216</c:v>
                </c:pt>
                <c:pt idx="16">
                  <c:v>249.30448137595579</c:v>
                </c:pt>
                <c:pt idx="17">
                  <c:v>280.0840350012657</c:v>
                </c:pt>
                <c:pt idx="18">
                  <c:v>280.986145397896</c:v>
                </c:pt>
                <c:pt idx="19">
                  <c:v>260.16628289541944</c:v>
                </c:pt>
                <c:pt idx="20">
                  <c:v>303.9978337613594</c:v>
                </c:pt>
                <c:pt idx="21">
                  <c:v>271.42799713270074</c:v>
                </c:pt>
              </c:numCache>
            </c:numRef>
          </c:val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Baumineralien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Daten!$B$10:$B$31</c:f>
              <c:numCache>
                <c:formatCode>General</c:formatCode>
                <c:ptCount val="22"/>
                <c:pt idx="1">
                  <c:v>1995</c:v>
                </c:pt>
                <c:pt idx="6">
                  <c:v>2000</c:v>
                </c:pt>
                <c:pt idx="11">
                  <c:v>2005</c:v>
                </c:pt>
                <c:pt idx="16">
                  <c:v>2010</c:v>
                </c:pt>
                <c:pt idx="21">
                  <c:v>2015</c:v>
                </c:pt>
              </c:numCache>
            </c:numRef>
          </c:cat>
          <c:val>
            <c:numRef>
              <c:f>Daten!$D$10:$D$31</c:f>
              <c:numCache>
                <c:formatCode>#,##0.0</c:formatCode>
                <c:ptCount val="22"/>
                <c:pt idx="0">
                  <c:v>780.49473755866677</c:v>
                </c:pt>
                <c:pt idx="1">
                  <c:v>737.86435242533344</c:v>
                </c:pt>
                <c:pt idx="2">
                  <c:v>713.41205836133349</c:v>
                </c:pt>
                <c:pt idx="3">
                  <c:v>704.16439337866666</c:v>
                </c:pt>
                <c:pt idx="4">
                  <c:v>680.49578490400006</c:v>
                </c:pt>
                <c:pt idx="5">
                  <c:v>726.72253219727077</c:v>
                </c:pt>
                <c:pt idx="6">
                  <c:v>691.85276614745317</c:v>
                </c:pt>
                <c:pt idx="7">
                  <c:v>632.10174503119629</c:v>
                </c:pt>
                <c:pt idx="8">
                  <c:v>604.9393618978263</c:v>
                </c:pt>
                <c:pt idx="9">
                  <c:v>599.3094050888792</c:v>
                </c:pt>
                <c:pt idx="10">
                  <c:v>574.25304708272665</c:v>
                </c:pt>
                <c:pt idx="11">
                  <c:v>550.43123899463308</c:v>
                </c:pt>
                <c:pt idx="12">
                  <c:v>587.58025522545847</c:v>
                </c:pt>
                <c:pt idx="13">
                  <c:v>565.53791857756244</c:v>
                </c:pt>
                <c:pt idx="14">
                  <c:v>558.16282394189852</c:v>
                </c:pt>
                <c:pt idx="15">
                  <c:v>521.99155929432368</c:v>
                </c:pt>
                <c:pt idx="16">
                  <c:v>511.41312888876388</c:v>
                </c:pt>
                <c:pt idx="17">
                  <c:v>566.75229219450057</c:v>
                </c:pt>
                <c:pt idx="18">
                  <c:v>535.10469478633127</c:v>
                </c:pt>
                <c:pt idx="19">
                  <c:v>534.53671369665005</c:v>
                </c:pt>
                <c:pt idx="20">
                  <c:v>542.58220937204214</c:v>
                </c:pt>
                <c:pt idx="21">
                  <c:v>517.2851594527682</c:v>
                </c:pt>
              </c:numCache>
            </c:numRef>
          </c:val>
        </c:ser>
        <c:ser>
          <c:idx val="3"/>
          <c:order val="2"/>
          <c:tx>
            <c:strRef>
              <c:f>Daten!$E$9</c:f>
              <c:strCache>
                <c:ptCount val="1"/>
                <c:pt idx="0">
                  <c:v>Erze*</c:v>
                </c:pt>
              </c:strCache>
            </c:strRef>
          </c:tx>
          <c:spPr>
            <a:solidFill>
              <a:srgbClr val="4B4B4D"/>
            </a:solidFill>
            <a:ln>
              <a:noFill/>
            </a:ln>
          </c:spPr>
          <c:invertIfNegative val="0"/>
          <c:cat>
            <c:numRef>
              <c:f>Daten!$B$10:$B$31</c:f>
              <c:numCache>
                <c:formatCode>General</c:formatCode>
                <c:ptCount val="22"/>
                <c:pt idx="1">
                  <c:v>1995</c:v>
                </c:pt>
                <c:pt idx="6">
                  <c:v>2000</c:v>
                </c:pt>
                <c:pt idx="11">
                  <c:v>2005</c:v>
                </c:pt>
                <c:pt idx="16">
                  <c:v>2010</c:v>
                </c:pt>
                <c:pt idx="21">
                  <c:v>2015</c:v>
                </c:pt>
              </c:numCache>
            </c:numRef>
          </c:cat>
          <c:val>
            <c:numRef>
              <c:f>Daten!$E$10:$E$31</c:f>
              <c:numCache>
                <c:formatCode>#,##0.0</c:formatCode>
                <c:ptCount val="22"/>
                <c:pt idx="0">
                  <c:v>0.14576</c:v>
                </c:pt>
                <c:pt idx="1">
                  <c:v>6.8720000000000003E-2</c:v>
                </c:pt>
                <c:pt idx="2">
                  <c:v>0.10428</c:v>
                </c:pt>
                <c:pt idx="3">
                  <c:v>0.20094000000000001</c:v>
                </c:pt>
                <c:pt idx="4">
                  <c:v>0.60491200000000001</c:v>
                </c:pt>
                <c:pt idx="5">
                  <c:v>0.61516499999999996</c:v>
                </c:pt>
                <c:pt idx="6">
                  <c:v>0.46152499999999996</c:v>
                </c:pt>
                <c:pt idx="7">
                  <c:v>0.40700200000000003</c:v>
                </c:pt>
                <c:pt idx="8">
                  <c:v>0.41937099999999999</c:v>
                </c:pt>
                <c:pt idx="9">
                  <c:v>0.42917000000000005</c:v>
                </c:pt>
                <c:pt idx="10">
                  <c:v>0.41223799999999999</c:v>
                </c:pt>
                <c:pt idx="11">
                  <c:v>0.36210599999999998</c:v>
                </c:pt>
                <c:pt idx="12">
                  <c:v>0.42614999999999997</c:v>
                </c:pt>
                <c:pt idx="13">
                  <c:v>0.43420999999999998</c:v>
                </c:pt>
                <c:pt idx="14">
                  <c:v>0.46315699999999999</c:v>
                </c:pt>
                <c:pt idx="15">
                  <c:v>0.36770999999999998</c:v>
                </c:pt>
                <c:pt idx="16">
                  <c:v>0.39368599999999998</c:v>
                </c:pt>
                <c:pt idx="17">
                  <c:v>0.489091</c:v>
                </c:pt>
                <c:pt idx="18">
                  <c:v>0.45111399999999996</c:v>
                </c:pt>
                <c:pt idx="19">
                  <c:v>0.41845100000000002</c:v>
                </c:pt>
                <c:pt idx="20">
                  <c:v>0.45609300000000003</c:v>
                </c:pt>
                <c:pt idx="21">
                  <c:v>0.48923899999999998</c:v>
                </c:pt>
              </c:numCache>
            </c:numRef>
          </c:val>
        </c:ser>
        <c:ser>
          <c:idx val="4"/>
          <c:order val="3"/>
          <c:tx>
            <c:strRef>
              <c:f>Daten!$F$9</c:f>
              <c:strCache>
                <c:ptCount val="1"/>
                <c:pt idx="0">
                  <c:v>Energieträger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Daten!$B$10:$B$31</c:f>
              <c:numCache>
                <c:formatCode>General</c:formatCode>
                <c:ptCount val="22"/>
                <c:pt idx="1">
                  <c:v>1995</c:v>
                </c:pt>
                <c:pt idx="6">
                  <c:v>2000</c:v>
                </c:pt>
                <c:pt idx="11">
                  <c:v>2005</c:v>
                </c:pt>
                <c:pt idx="16">
                  <c:v>2010</c:v>
                </c:pt>
                <c:pt idx="21">
                  <c:v>2015</c:v>
                </c:pt>
              </c:numCache>
            </c:numRef>
          </c:cat>
          <c:val>
            <c:numRef>
              <c:f>Daten!$F$10:$F$31</c:f>
              <c:numCache>
                <c:formatCode>#,##0.0</c:formatCode>
                <c:ptCount val="22"/>
                <c:pt idx="0">
                  <c:v>277.98002962200002</c:v>
                </c:pt>
                <c:pt idx="1">
                  <c:v>265.52494707900001</c:v>
                </c:pt>
                <c:pt idx="2">
                  <c:v>255.75790911900003</c:v>
                </c:pt>
                <c:pt idx="3">
                  <c:v>243.761334756</c:v>
                </c:pt>
                <c:pt idx="4">
                  <c:v>226.99164810799999</c:v>
                </c:pt>
                <c:pt idx="5">
                  <c:v>220.84958846100005</c:v>
                </c:pt>
                <c:pt idx="6">
                  <c:v>220.66082174400003</c:v>
                </c:pt>
                <c:pt idx="7">
                  <c:v>222.41165539799999</c:v>
                </c:pt>
                <c:pt idx="8">
                  <c:v>227.88329935499999</c:v>
                </c:pt>
                <c:pt idx="9">
                  <c:v>225.53194599700001</c:v>
                </c:pt>
                <c:pt idx="10">
                  <c:v>226.85874939300001</c:v>
                </c:pt>
                <c:pt idx="11">
                  <c:v>220.88193311900002</c:v>
                </c:pt>
                <c:pt idx="12">
                  <c:v>215.657241279</c:v>
                </c:pt>
                <c:pt idx="13">
                  <c:v>219.04532169300001</c:v>
                </c:pt>
                <c:pt idx="14">
                  <c:v>209.05007265000003</c:v>
                </c:pt>
                <c:pt idx="15">
                  <c:v>199.105836856</c:v>
                </c:pt>
                <c:pt idx="16">
                  <c:v>196.064367398</c:v>
                </c:pt>
                <c:pt idx="17">
                  <c:v>202.06236201599998</c:v>
                </c:pt>
                <c:pt idx="18">
                  <c:v>208.74355425100003</c:v>
                </c:pt>
                <c:pt idx="19">
                  <c:v>202.05247995799999</c:v>
                </c:pt>
                <c:pt idx="20">
                  <c:v>196.90402979199999</c:v>
                </c:pt>
                <c:pt idx="21">
                  <c:v>194.80744539100002</c:v>
                </c:pt>
              </c:numCache>
            </c:numRef>
          </c:val>
        </c:ser>
        <c:ser>
          <c:idx val="0"/>
          <c:order val="4"/>
          <c:tx>
            <c:strRef>
              <c:f>Daten!$G$9</c:f>
              <c:strCache>
                <c:ptCount val="1"/>
                <c:pt idx="0">
                  <c:v>Industriemineralien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Daten!$B$10:$B$31</c:f>
              <c:numCache>
                <c:formatCode>General</c:formatCode>
                <c:ptCount val="22"/>
                <c:pt idx="1">
                  <c:v>1995</c:v>
                </c:pt>
                <c:pt idx="6">
                  <c:v>2000</c:v>
                </c:pt>
                <c:pt idx="11">
                  <c:v>2005</c:v>
                </c:pt>
                <c:pt idx="16">
                  <c:v>2010</c:v>
                </c:pt>
                <c:pt idx="21">
                  <c:v>2015</c:v>
                </c:pt>
              </c:numCache>
            </c:numRef>
          </c:cat>
          <c:val>
            <c:numRef>
              <c:f>Daten!$G$10:$G$31</c:f>
              <c:numCache>
                <c:formatCode>#,##0.0</c:formatCode>
                <c:ptCount val="22"/>
                <c:pt idx="0">
                  <c:v>63.854354549999996</c:v>
                </c:pt>
                <c:pt idx="1">
                  <c:v>58.469899050000009</c:v>
                </c:pt>
                <c:pt idx="2">
                  <c:v>58.829314199999992</c:v>
                </c:pt>
                <c:pt idx="3">
                  <c:v>60.509902350000004</c:v>
                </c:pt>
                <c:pt idx="4">
                  <c:v>59.6115998</c:v>
                </c:pt>
                <c:pt idx="5">
                  <c:v>62.312881896945775</c:v>
                </c:pt>
                <c:pt idx="6">
                  <c:v>59.338184385310086</c:v>
                </c:pt>
                <c:pt idx="7">
                  <c:v>58.272535730945336</c:v>
                </c:pt>
                <c:pt idx="8">
                  <c:v>59.092485363957891</c:v>
                </c:pt>
                <c:pt idx="9">
                  <c:v>58.962873646666125</c:v>
                </c:pt>
                <c:pt idx="10">
                  <c:v>61.81084210717772</c:v>
                </c:pt>
                <c:pt idx="11">
                  <c:v>62.611869915306791</c:v>
                </c:pt>
                <c:pt idx="12">
                  <c:v>64.199743713316337</c:v>
                </c:pt>
                <c:pt idx="13">
                  <c:v>62.077243575067172</c:v>
                </c:pt>
                <c:pt idx="14">
                  <c:v>59.896374916992933</c:v>
                </c:pt>
                <c:pt idx="15">
                  <c:v>57.62502230679388</c:v>
                </c:pt>
                <c:pt idx="16">
                  <c:v>64.185012152601857</c:v>
                </c:pt>
                <c:pt idx="17">
                  <c:v>64.191421700115143</c:v>
                </c:pt>
                <c:pt idx="18">
                  <c:v>59.456282498546905</c:v>
                </c:pt>
                <c:pt idx="19">
                  <c:v>60.978853809453312</c:v>
                </c:pt>
                <c:pt idx="20">
                  <c:v>58.762583362998299</c:v>
                </c:pt>
                <c:pt idx="21">
                  <c:v>56.624007237264905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1102496"/>
        <c:axId val="501102888"/>
      </c:barChart>
      <c:lineChart>
        <c:grouping val="standard"/>
        <c:varyColors val="0"/>
        <c:ser>
          <c:idx val="5"/>
          <c:order val="5"/>
          <c:tx>
            <c:strRef>
              <c:f>Daten!$H$9</c:f>
              <c:strCache>
                <c:ptCount val="1"/>
                <c:pt idx="0">
                  <c:v>Gesamtwerte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Daten!$B$10:$B$31</c:f>
              <c:numCache>
                <c:formatCode>General</c:formatCode>
                <c:ptCount val="22"/>
                <c:pt idx="1">
                  <c:v>1995</c:v>
                </c:pt>
                <c:pt idx="6">
                  <c:v>2000</c:v>
                </c:pt>
                <c:pt idx="11">
                  <c:v>2005</c:v>
                </c:pt>
                <c:pt idx="16">
                  <c:v>2010</c:v>
                </c:pt>
                <c:pt idx="21">
                  <c:v>2015</c:v>
                </c:pt>
              </c:numCache>
            </c:numRef>
          </c:cat>
          <c:val>
            <c:numRef>
              <c:f>Daten!$H$10:$H$31</c:f>
              <c:numCache>
                <c:formatCode>#,##0.0</c:formatCode>
                <c:ptCount val="22"/>
                <c:pt idx="0">
                  <c:v>1334.4562632195418</c:v>
                </c:pt>
                <c:pt idx="1">
                  <c:v>1283.1255845693397</c:v>
                </c:pt>
                <c:pt idx="2">
                  <c:v>1263.8428261635527</c:v>
                </c:pt>
                <c:pt idx="3">
                  <c:v>1246.5923797652792</c:v>
                </c:pt>
                <c:pt idx="4">
                  <c:v>1206.2966601197627</c:v>
                </c:pt>
                <c:pt idx="5">
                  <c:v>1247.2100916954996</c:v>
                </c:pt>
                <c:pt idx="6">
                  <c:v>1218.515830503678</c:v>
                </c:pt>
                <c:pt idx="7">
                  <c:v>1150.7127940064822</c:v>
                </c:pt>
                <c:pt idx="8">
                  <c:v>1122.9591680295443</c:v>
                </c:pt>
                <c:pt idx="9">
                  <c:v>1091.6965219413078</c:v>
                </c:pt>
                <c:pt idx="10">
                  <c:v>1117.8904414493963</c:v>
                </c:pt>
                <c:pt idx="11">
                  <c:v>1081.9641506782318</c:v>
                </c:pt>
                <c:pt idx="12">
                  <c:v>1102.2310405747271</c:v>
                </c:pt>
                <c:pt idx="13">
                  <c:v>1109.4184327609564</c:v>
                </c:pt>
                <c:pt idx="14">
                  <c:v>1090.9615167168431</c:v>
                </c:pt>
                <c:pt idx="15">
                  <c:v>1047.0616680931396</c:v>
                </c:pt>
                <c:pt idx="16">
                  <c:v>1021.3606758153215</c:v>
                </c:pt>
                <c:pt idx="17">
                  <c:v>1113.5792019118817</c:v>
                </c:pt>
                <c:pt idx="18">
                  <c:v>1084.7417909337742</c:v>
                </c:pt>
                <c:pt idx="19">
                  <c:v>1058.1527813595228</c:v>
                </c:pt>
                <c:pt idx="20">
                  <c:v>1102.7027492883997</c:v>
                </c:pt>
                <c:pt idx="21">
                  <c:v>1040.6338482137337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102496"/>
        <c:axId val="501102888"/>
      </c:lineChart>
      <c:catAx>
        <c:axId val="5011024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1102888"/>
        <c:crosses val="autoZero"/>
        <c:auto val="1"/>
        <c:lblAlgn val="ctr"/>
        <c:lblOffset val="100"/>
        <c:noMultiLvlLbl val="0"/>
      </c:catAx>
      <c:valAx>
        <c:axId val="501102888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Millionen Tonnen</c:v>
                </c:pt>
              </c:strCache>
            </c:strRef>
          </c:tx>
          <c:layout>
            <c:manualLayout>
              <c:xMode val="edge"/>
              <c:yMode val="edge"/>
              <c:x val="7.8955176788318301E-2"/>
              <c:y val="2.650976390721196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11024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delete val="1"/>
      </c:legendEntry>
      <c:layout>
        <c:manualLayout>
          <c:xMode val="edge"/>
          <c:yMode val="edge"/>
          <c:x val="8.5172766686502338E-2"/>
          <c:y val="0.86010634825747567"/>
          <c:w val="0.89706154678245509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1186142</xdr:colOff>
      <xdr:row>31</xdr:row>
      <xdr:rowOff>0</xdr:rowOff>
    </xdr:from>
    <xdr:to>
      <xdr:col>7</xdr:col>
      <xdr:colOff>1208555</xdr:colOff>
      <xdr:row>31</xdr:row>
      <xdr:rowOff>0</xdr:rowOff>
    </xdr:to>
    <xdr:cxnSp macro="">
      <xdr:nvCxnSpPr>
        <xdr:cNvPr id="2" name="Gerade Verbindung 1"/>
        <xdr:cNvCxnSpPr/>
      </xdr:nvCxnSpPr>
      <xdr:spPr>
        <a:xfrm>
          <a:off x="1186142" y="6858000"/>
          <a:ext cx="83567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57977</xdr:colOff>
      <xdr:row>2</xdr:row>
      <xdr:rowOff>107258</xdr:rowOff>
    </xdr:from>
    <xdr:to>
      <xdr:col>15</xdr:col>
      <xdr:colOff>173935</xdr:colOff>
      <xdr:row>21</xdr:row>
      <xdr:rowOff>16564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36635</xdr:colOff>
      <xdr:row>18</xdr:row>
      <xdr:rowOff>1063101</xdr:rowOff>
    </xdr:from>
    <xdr:to>
      <xdr:col>14</xdr:col>
      <xdr:colOff>348903</xdr:colOff>
      <xdr:row>20</xdr:row>
      <xdr:rowOff>95249</xdr:rowOff>
    </xdr:to>
    <xdr:sp macro="" textlink="Daten!W3">
      <xdr:nvSpPr>
        <xdr:cNvPr id="3" name="Textfeld 2"/>
        <xdr:cNvSpPr txBox="1"/>
      </xdr:nvSpPr>
      <xdr:spPr>
        <a:xfrm>
          <a:off x="4183673" y="4953697"/>
          <a:ext cx="2891345" cy="25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2017, Umweltnutzung und Wirtschaft - Tabellen zu den Umweltökonomischen Gesamtrechnungen 2017, Teil 4, Tabelle 5.1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27332</xdr:colOff>
      <xdr:row>18</xdr:row>
      <xdr:rowOff>1070110</xdr:rowOff>
    </xdr:from>
    <xdr:to>
      <xdr:col>8</xdr:col>
      <xdr:colOff>95250</xdr:colOff>
      <xdr:row>21</xdr:row>
      <xdr:rowOff>61480</xdr:rowOff>
    </xdr:to>
    <xdr:sp macro="" textlink="Daten!B4">
      <xdr:nvSpPr>
        <xdr:cNvPr id="4" name="Textfeld 3"/>
        <xdr:cNvSpPr txBox="1"/>
      </xdr:nvSpPr>
      <xdr:spPr>
        <a:xfrm>
          <a:off x="247140" y="4960706"/>
          <a:ext cx="2947398" cy="3615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Werte der Kategorie "Erze" liegen in der Größenordnung 0,1 bis 0,5 Millionen Tonnen. Die Kategorie ist daher in der Abbildung nicht sichtbar.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9525</xdr:rowOff>
    </xdr:from>
    <xdr:to>
      <xdr:col>12</xdr:col>
      <xdr:colOff>869674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157370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Inländische Rohstoffentnahme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102577</xdr:colOff>
      <xdr:row>1</xdr:row>
      <xdr:rowOff>189768</xdr:rowOff>
    </xdr:from>
    <xdr:to>
      <xdr:col>13</xdr:col>
      <xdr:colOff>102577</xdr:colOff>
      <xdr:row>2</xdr:row>
      <xdr:rowOff>203688</xdr:rowOff>
    </xdr:to>
    <xdr:sp macro="" textlink="Daten!B2">
      <xdr:nvSpPr>
        <xdr:cNvPr id="6" name="Textfeld 5"/>
        <xdr:cNvSpPr txBox="1"/>
      </xdr:nvSpPr>
      <xdr:spPr>
        <a:xfrm>
          <a:off x="322385" y="446210"/>
          <a:ext cx="5905500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11765</xdr:rowOff>
    </xdr:from>
    <xdr:to>
      <xdr:col>14</xdr:col>
      <xdr:colOff>329874</xdr:colOff>
      <xdr:row>1</xdr:row>
      <xdr:rowOff>11765</xdr:rowOff>
    </xdr:to>
    <xdr:cxnSp macro="">
      <xdr:nvCxnSpPr>
        <xdr:cNvPr id="8" name="Gerade Verbindung 7"/>
        <xdr:cNvCxnSpPr/>
      </xdr:nvCxnSpPr>
      <xdr:spPr>
        <a:xfrm>
          <a:off x="231917" y="268526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33479</xdr:colOff>
      <xdr:row>18</xdr:row>
      <xdr:rowOff>1062241</xdr:rowOff>
    </xdr:from>
    <xdr:to>
      <xdr:col>14</xdr:col>
      <xdr:colOff>346784</xdr:colOff>
      <xdr:row>18</xdr:row>
      <xdr:rowOff>1062241</xdr:rowOff>
    </xdr:to>
    <xdr:cxnSp macro="">
      <xdr:nvCxnSpPr>
        <xdr:cNvPr id="9" name="Gerade Verbindung 8"/>
        <xdr:cNvCxnSpPr/>
      </xdr:nvCxnSpPr>
      <xdr:spPr>
        <a:xfrm>
          <a:off x="253287" y="4952837"/>
          <a:ext cx="681961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24851</xdr:colOff>
      <xdr:row>18</xdr:row>
      <xdr:rowOff>617212</xdr:rowOff>
    </xdr:from>
    <xdr:to>
      <xdr:col>14</xdr:col>
      <xdr:colOff>338156</xdr:colOff>
      <xdr:row>18</xdr:row>
      <xdr:rowOff>617212</xdr:rowOff>
    </xdr:to>
    <xdr:cxnSp macro="">
      <xdr:nvCxnSpPr>
        <xdr:cNvPr id="10" name="Gerade Verbindung 9"/>
        <xdr:cNvCxnSpPr/>
      </xdr:nvCxnSpPr>
      <xdr:spPr>
        <a:xfrm>
          <a:off x="244659" y="4507808"/>
          <a:ext cx="681961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W31"/>
  <sheetViews>
    <sheetView showGridLines="0" zoomScaleNormal="100" workbookViewId="0">
      <selection activeCell="P17" sqref="P17"/>
    </sheetView>
  </sheetViews>
  <sheetFormatPr baseColWidth="10" defaultColWidth="11.42578125" defaultRowHeight="12.75"/>
  <cols>
    <col min="1" max="1" width="18" style="7" bestFit="1" customWidth="1"/>
    <col min="2" max="2" width="15.5703125" style="7" customWidth="1"/>
    <col min="3" max="8" width="18.28515625" style="7" customWidth="1"/>
    <col min="9" max="12" width="11.42578125" style="6"/>
    <col min="13" max="16384" width="11.42578125" style="7"/>
  </cols>
  <sheetData>
    <row r="1" spans="1:23" ht="15.95" customHeight="1">
      <c r="A1" s="15" t="s">
        <v>1</v>
      </c>
      <c r="B1" s="55" t="s">
        <v>10</v>
      </c>
      <c r="C1" s="56"/>
      <c r="D1" s="56"/>
      <c r="E1" s="56"/>
      <c r="F1" s="56"/>
      <c r="G1" s="56"/>
      <c r="H1" s="56"/>
    </row>
    <row r="2" spans="1:23" ht="15.95" customHeight="1">
      <c r="A2" s="15" t="s">
        <v>2</v>
      </c>
      <c r="B2" s="57"/>
      <c r="C2" s="56"/>
      <c r="D2" s="56"/>
      <c r="E2" s="56"/>
      <c r="F2" s="56"/>
      <c r="G2" s="56"/>
      <c r="H2" s="56"/>
    </row>
    <row r="3" spans="1:23">
      <c r="A3" s="15" t="s">
        <v>0</v>
      </c>
      <c r="B3" s="60" t="s">
        <v>19</v>
      </c>
      <c r="C3" s="60"/>
      <c r="D3" s="60"/>
      <c r="E3" s="60"/>
      <c r="F3" s="60"/>
      <c r="G3" s="60"/>
      <c r="H3" s="60"/>
      <c r="W3" s="7" t="str">
        <f>"Quelle: "&amp;Daten!B3</f>
        <v>Quelle: Statistisches Bundesamt 2017, Umweltnutzung und Wirtschaft - Tabellen zu den Umweltökonomischen Gesamtrechnungen 2017, Teil 4, Tabelle 5.1</v>
      </c>
    </row>
    <row r="4" spans="1:23">
      <c r="A4" s="15" t="s">
        <v>3</v>
      </c>
      <c r="B4" s="57" t="s">
        <v>18</v>
      </c>
      <c r="C4" s="56"/>
      <c r="D4" s="56"/>
      <c r="E4" s="56"/>
      <c r="F4" s="56"/>
      <c r="G4" s="56"/>
      <c r="H4" s="56"/>
    </row>
    <row r="5" spans="1:23">
      <c r="A5" s="15" t="s">
        <v>8</v>
      </c>
      <c r="B5" s="57" t="s">
        <v>16</v>
      </c>
      <c r="C5" s="56"/>
      <c r="D5" s="56"/>
      <c r="E5" s="56"/>
      <c r="F5" s="56"/>
      <c r="G5" s="56"/>
      <c r="H5" s="56"/>
    </row>
    <row r="6" spans="1:23">
      <c r="A6" s="16" t="s">
        <v>9</v>
      </c>
      <c r="B6" s="58"/>
      <c r="C6" s="59"/>
      <c r="D6" s="59"/>
      <c r="E6" s="59"/>
      <c r="F6" s="59"/>
      <c r="G6" s="59"/>
      <c r="H6" s="59"/>
    </row>
    <row r="8" spans="1:23">
      <c r="A8" s="8"/>
      <c r="B8" s="8"/>
      <c r="C8" s="6"/>
      <c r="D8" s="9"/>
      <c r="E8" s="9"/>
      <c r="F8" s="9"/>
      <c r="G8" s="9"/>
      <c r="H8" s="9"/>
    </row>
    <row r="9" spans="1:23" ht="18" customHeight="1">
      <c r="A9" s="6"/>
      <c r="B9" s="37"/>
      <c r="C9" s="38" t="s">
        <v>11</v>
      </c>
      <c r="D9" s="38" t="s">
        <v>12</v>
      </c>
      <c r="E9" s="38" t="s">
        <v>17</v>
      </c>
      <c r="F9" s="38" t="s">
        <v>13</v>
      </c>
      <c r="G9" s="38" t="s">
        <v>14</v>
      </c>
      <c r="H9" s="38" t="s">
        <v>15</v>
      </c>
      <c r="I9" s="10"/>
      <c r="J9" s="10"/>
      <c r="K9" s="10"/>
      <c r="L9" s="10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6"/>
      <c r="B10" s="12"/>
      <c r="C10" s="51">
        <f>211981.381488875*(0.001)</f>
        <v>211.98138148887497</v>
      </c>
      <c r="D10" s="51">
        <f>780494.737558667*(0.001)</f>
        <v>780.49473755866677</v>
      </c>
      <c r="E10" s="51">
        <f>145.76*(0.001)</f>
        <v>0.14576</v>
      </c>
      <c r="F10" s="51">
        <f>277980.029622*(0.001)</f>
        <v>277.98002962200002</v>
      </c>
      <c r="G10" s="51">
        <f>63854.35455*(0.001)</f>
        <v>63.854354549999996</v>
      </c>
      <c r="H10" s="53">
        <f>1334456.26321954*(0.001)</f>
        <v>1334.4562632195418</v>
      </c>
    </row>
    <row r="11" spans="1:23" ht="18" customHeight="1">
      <c r="A11" s="13"/>
      <c r="B11" s="14">
        <v>1995</v>
      </c>
      <c r="C11" s="52">
        <f>221197.666015006*(0.001)</f>
        <v>221.19766601500612</v>
      </c>
      <c r="D11" s="52">
        <f>737864.352425333*(0.001)</f>
        <v>737.86435242533344</v>
      </c>
      <c r="E11" s="52">
        <f>68.72*(0.001)</f>
        <v>6.8720000000000003E-2</v>
      </c>
      <c r="F11" s="52">
        <f>265524.947079*(0.001)</f>
        <v>265.52494707900001</v>
      </c>
      <c r="G11" s="52">
        <f>58469.89905*(0.001)</f>
        <v>58.469899050000009</v>
      </c>
      <c r="H11" s="54">
        <f>1283125.58456934*(0.001)</f>
        <v>1283.1255845693397</v>
      </c>
    </row>
    <row r="12" spans="1:23" ht="18" customHeight="1">
      <c r="A12" s="13"/>
      <c r="B12" s="12"/>
      <c r="C12" s="51">
        <f>235739.264483219*(0.001)</f>
        <v>235.73926448321936</v>
      </c>
      <c r="D12" s="51">
        <f>713412.058361333*(0.001)</f>
        <v>713.41205836133349</v>
      </c>
      <c r="E12" s="51">
        <f>104.28*(0.001)</f>
        <v>0.10428</v>
      </c>
      <c r="F12" s="51">
        <f>255757.909119*(0.001)</f>
        <v>255.75790911900003</v>
      </c>
      <c r="G12" s="51">
        <f>58829.3142*(0.001)</f>
        <v>58.829314199999992</v>
      </c>
      <c r="H12" s="53">
        <f>1263842.82616355*(0.001)</f>
        <v>1263.8428261635527</v>
      </c>
    </row>
    <row r="13" spans="1:23" ht="18" customHeight="1">
      <c r="A13" s="13"/>
      <c r="B13" s="14"/>
      <c r="C13" s="52">
        <f>237955.809280613*(0.001)</f>
        <v>237.95580928061264</v>
      </c>
      <c r="D13" s="52">
        <f>704164.393378667*(0.001)</f>
        <v>704.16439337866666</v>
      </c>
      <c r="E13" s="52">
        <f>200.94*(0.001)</f>
        <v>0.20094000000000001</v>
      </c>
      <c r="F13" s="52">
        <f>243761.334756*(0.001)</f>
        <v>243.761334756</v>
      </c>
      <c r="G13" s="52">
        <f>60509.90235*(0.001)</f>
        <v>60.509902350000004</v>
      </c>
      <c r="H13" s="54">
        <f>1246592.37976528*(0.001)</f>
        <v>1246.5923797652792</v>
      </c>
    </row>
    <row r="14" spans="1:23" ht="18" customHeight="1">
      <c r="A14" s="13"/>
      <c r="B14" s="12"/>
      <c r="C14" s="51">
        <f>238592.715307763*(0.001)</f>
        <v>238.59271530776266</v>
      </c>
      <c r="D14" s="51">
        <f>680495.784904*(0.001)</f>
        <v>680.49578490400006</v>
      </c>
      <c r="E14" s="51">
        <f>604.912*(0.001)</f>
        <v>0.60491200000000001</v>
      </c>
      <c r="F14" s="51">
        <f>226991.648108*(0.001)</f>
        <v>226.99164810799999</v>
      </c>
      <c r="G14" s="51">
        <f>59611.5998*(0.001)</f>
        <v>59.6115998</v>
      </c>
      <c r="H14" s="53">
        <f>1206296.66011976*(0.001)</f>
        <v>1206.2966601197627</v>
      </c>
    </row>
    <row r="15" spans="1:23" ht="18" customHeight="1">
      <c r="A15" s="13"/>
      <c r="B15" s="14"/>
      <c r="C15" s="52">
        <f>236709.924140283*(0.001)</f>
        <v>236.70992414028296</v>
      </c>
      <c r="D15" s="52">
        <f>726722.532197271*(0.001)</f>
        <v>726.72253219727077</v>
      </c>
      <c r="E15" s="52">
        <f>615.165*(0.001)</f>
        <v>0.61516499999999996</v>
      </c>
      <c r="F15" s="52">
        <f>220849.588461*(0.001)</f>
        <v>220.84958846100005</v>
      </c>
      <c r="G15" s="52">
        <f>62312.8818969458*(0.001)</f>
        <v>62.312881896945775</v>
      </c>
      <c r="H15" s="54">
        <f>1247210.0916955*(0.001)</f>
        <v>1247.2100916954996</v>
      </c>
    </row>
    <row r="16" spans="1:23" ht="18" customHeight="1">
      <c r="A16" s="13"/>
      <c r="B16" s="12">
        <v>2000</v>
      </c>
      <c r="C16" s="51">
        <f>246202.533226915*(0.001)</f>
        <v>246.2025332269146</v>
      </c>
      <c r="D16" s="51">
        <f>691852.766147453*(0.001)</f>
        <v>691.85276614745317</v>
      </c>
      <c r="E16" s="51">
        <f>461.525*(0.001)</f>
        <v>0.46152499999999996</v>
      </c>
      <c r="F16" s="51">
        <f>220660.821744*(0.001)</f>
        <v>220.66082174400003</v>
      </c>
      <c r="G16" s="51">
        <f>59338.1843853101*(0.001)</f>
        <v>59.338184385310086</v>
      </c>
      <c r="H16" s="53">
        <f>1218515.83050368*(0.001)</f>
        <v>1218.515830503678</v>
      </c>
    </row>
    <row r="17" spans="1:8" ht="18" customHeight="1">
      <c r="A17" s="13"/>
      <c r="B17" s="14"/>
      <c r="C17" s="52">
        <f>237519.855846341*(0.001)</f>
        <v>237.51985584634053</v>
      </c>
      <c r="D17" s="52">
        <f>632101.745031196*(0.001)</f>
        <v>632.10174503119629</v>
      </c>
      <c r="E17" s="52">
        <f>407.002*(0.001)</f>
        <v>0.40700200000000003</v>
      </c>
      <c r="F17" s="52">
        <f>222411.655398*(0.001)</f>
        <v>222.41165539799999</v>
      </c>
      <c r="G17" s="52">
        <f>58272.5357309453*(0.001)</f>
        <v>58.272535730945336</v>
      </c>
      <c r="H17" s="54">
        <f>1150712.79400648*(0.001)</f>
        <v>1150.7127940064822</v>
      </c>
    </row>
    <row r="18" spans="1:8" ht="18" customHeight="1">
      <c r="A18" s="13"/>
      <c r="B18" s="12"/>
      <c r="C18" s="51">
        <f>230624.65041276*(0.001)</f>
        <v>230.62465041276022</v>
      </c>
      <c r="D18" s="51">
        <f>604939.361897826*(0.001)</f>
        <v>604.9393618978263</v>
      </c>
      <c r="E18" s="51">
        <f>419.371*(0.001)</f>
        <v>0.41937099999999999</v>
      </c>
      <c r="F18" s="51">
        <f>227883.299355*(0.001)</f>
        <v>227.88329935499999</v>
      </c>
      <c r="G18" s="51">
        <f>59092.4853639579*(0.001)</f>
        <v>59.092485363957891</v>
      </c>
      <c r="H18" s="53">
        <f>1122959.16802954*(0.001)</f>
        <v>1122.9591680295443</v>
      </c>
    </row>
    <row r="19" spans="1:8" ht="18" customHeight="1">
      <c r="A19" s="13"/>
      <c r="B19" s="14"/>
      <c r="C19" s="52">
        <f>207463.127208762*(0.001)</f>
        <v>207.46312720876242</v>
      </c>
      <c r="D19" s="52">
        <f>599309.405088879*(0.001)</f>
        <v>599.3094050888792</v>
      </c>
      <c r="E19" s="52">
        <f>429.17*(0.001)</f>
        <v>0.42917000000000005</v>
      </c>
      <c r="F19" s="52">
        <f>225531.945997*(0.001)</f>
        <v>225.53194599700001</v>
      </c>
      <c r="G19" s="52">
        <f>58962.8736466661*(0.001)</f>
        <v>58.962873646666125</v>
      </c>
      <c r="H19" s="54">
        <f>1091696.52194131*(0.001)</f>
        <v>1091.6965219413078</v>
      </c>
    </row>
    <row r="20" spans="1:8" ht="18" customHeight="1">
      <c r="A20" s="13"/>
      <c r="B20" s="12"/>
      <c r="C20" s="51">
        <f>254555.564866492*(0.001)</f>
        <v>254.55556486649195</v>
      </c>
      <c r="D20" s="51">
        <f>574253.047082727*(0.001)</f>
        <v>574.25304708272665</v>
      </c>
      <c r="E20" s="51">
        <f>412.238*(0.001)</f>
        <v>0.41223799999999999</v>
      </c>
      <c r="F20" s="51">
        <f>226858.749393*(0.001)</f>
        <v>226.85874939300001</v>
      </c>
      <c r="G20" s="51">
        <f>61810.8421071777*(0.001)</f>
        <v>61.81084210717772</v>
      </c>
      <c r="H20" s="53">
        <f>1117890.4414494*(0.001)</f>
        <v>1117.8904414493963</v>
      </c>
    </row>
    <row r="21" spans="1:8" ht="18" customHeight="1">
      <c r="A21" s="13"/>
      <c r="B21" s="14">
        <v>2005</v>
      </c>
      <c r="C21" s="52">
        <f>247677.002649292*(0.001)</f>
        <v>247.67700264929186</v>
      </c>
      <c r="D21" s="52">
        <f>550431.238994633*(0.001)</f>
        <v>550.43123899463308</v>
      </c>
      <c r="E21" s="52">
        <f>362.106*(0.001)</f>
        <v>0.36210599999999998</v>
      </c>
      <c r="F21" s="52">
        <f>220881.933119*(0.001)</f>
        <v>220.88193311900002</v>
      </c>
      <c r="G21" s="52">
        <f>62611.8699153068*(0.001)</f>
        <v>62.611869915306791</v>
      </c>
      <c r="H21" s="54">
        <f>1081964.15067823*(0.001)</f>
        <v>1081.9641506782318</v>
      </c>
    </row>
    <row r="22" spans="1:8" ht="18" customHeight="1">
      <c r="A22" s="13"/>
      <c r="B22" s="12"/>
      <c r="C22" s="51">
        <f>234367.650356952*(0.001)</f>
        <v>234.36765035695223</v>
      </c>
      <c r="D22" s="51">
        <f>587580.255225458*(0.001)</f>
        <v>587.58025522545847</v>
      </c>
      <c r="E22" s="51">
        <f>426.15*(0.001)</f>
        <v>0.42614999999999997</v>
      </c>
      <c r="F22" s="51">
        <f>215657.241279*(0.001)</f>
        <v>215.657241279</v>
      </c>
      <c r="G22" s="51">
        <f>64199.7437133163*(0.001)</f>
        <v>64.199743713316337</v>
      </c>
      <c r="H22" s="53">
        <f>1102231.04057473*(0.001)</f>
        <v>1102.2310405747271</v>
      </c>
    </row>
    <row r="23" spans="1:8" ht="18" customHeight="1">
      <c r="A23" s="13"/>
      <c r="B23" s="14"/>
      <c r="C23" s="52">
        <f>262323.738915327*(0.001)</f>
        <v>262.32373891532683</v>
      </c>
      <c r="D23" s="52">
        <f>565537.918577562*(0.001)</f>
        <v>565.53791857756244</v>
      </c>
      <c r="E23" s="52">
        <f>434.21*(0.001)</f>
        <v>0.43420999999999998</v>
      </c>
      <c r="F23" s="52">
        <f>219045.321693*(0.001)</f>
        <v>219.04532169300001</v>
      </c>
      <c r="G23" s="52">
        <f>62077.2435750672*(0.001)</f>
        <v>62.077243575067172</v>
      </c>
      <c r="H23" s="54">
        <f>1109418.43276096*(0.001)</f>
        <v>1109.4184327609564</v>
      </c>
    </row>
    <row r="24" spans="1:8" ht="18" customHeight="1">
      <c r="A24" s="13"/>
      <c r="B24" s="12"/>
      <c r="C24" s="51">
        <f>263389.088207951*(0.001)</f>
        <v>263.38908820795143</v>
      </c>
      <c r="D24" s="51">
        <f>558162.823941899*(0.001)</f>
        <v>558.16282394189852</v>
      </c>
      <c r="E24" s="51">
        <f>463.157*(0.001)</f>
        <v>0.46315699999999999</v>
      </c>
      <c r="F24" s="51">
        <f>209050.07265*(0.001)</f>
        <v>209.05007265000003</v>
      </c>
      <c r="G24" s="51">
        <f>59896.3749169929*(0.001)</f>
        <v>59.896374916992933</v>
      </c>
      <c r="H24" s="53">
        <f>1090961.51671684*(0.001)</f>
        <v>1090.9615167168431</v>
      </c>
    </row>
    <row r="25" spans="1:8" ht="18" customHeight="1">
      <c r="A25" s="13"/>
      <c r="B25" s="14"/>
      <c r="C25" s="52">
        <f>267971.539636022*(0.001)</f>
        <v>267.97153963602216</v>
      </c>
      <c r="D25" s="52">
        <f>521991.559294324*(0.001)</f>
        <v>521.99155929432368</v>
      </c>
      <c r="E25" s="52">
        <f>367.71*(0.001)</f>
        <v>0.36770999999999998</v>
      </c>
      <c r="F25" s="52">
        <f>199105.836856*(0.001)</f>
        <v>199.105836856</v>
      </c>
      <c r="G25" s="52">
        <f>57625.0223067939*(0.001)</f>
        <v>57.62502230679388</v>
      </c>
      <c r="H25" s="54">
        <f>1047061.66809314*(0.001)</f>
        <v>1047.0616680931396</v>
      </c>
    </row>
    <row r="26" spans="1:8" ht="18" customHeight="1">
      <c r="A26" s="13"/>
      <c r="B26" s="12">
        <v>2010</v>
      </c>
      <c r="C26" s="51">
        <f>249304.481375956*(0.001)</f>
        <v>249.30448137595579</v>
      </c>
      <c r="D26" s="51">
        <f>511413.128888764*(0.001)</f>
        <v>511.41312888876388</v>
      </c>
      <c r="E26" s="51">
        <f>393.686*(0.001)</f>
        <v>0.39368599999999998</v>
      </c>
      <c r="F26" s="51">
        <f>196064.367398*(0.001)</f>
        <v>196.064367398</v>
      </c>
      <c r="G26" s="51">
        <f>64185.0121526019*(0.001)</f>
        <v>64.185012152601857</v>
      </c>
      <c r="H26" s="53">
        <f>1021360.67581532*(0.001)</f>
        <v>1021.3606758153215</v>
      </c>
    </row>
    <row r="27" spans="1:8" ht="18" customHeight="1">
      <c r="B27" s="14"/>
      <c r="C27" s="52">
        <f>280084.035001266*(0.001)</f>
        <v>280.0840350012657</v>
      </c>
      <c r="D27" s="52">
        <f>566752.292194501*(0.001)</f>
        <v>566.75229219450057</v>
      </c>
      <c r="E27" s="52">
        <f>489.091*(0.001)</f>
        <v>0.489091</v>
      </c>
      <c r="F27" s="52">
        <f>202062.362016*(0.001)</f>
        <v>202.06236201599998</v>
      </c>
      <c r="G27" s="52">
        <f>64191.4217001151*(0.001)</f>
        <v>64.191421700115143</v>
      </c>
      <c r="H27" s="54">
        <f>1113579.20191188*(0.001)</f>
        <v>1113.5792019118817</v>
      </c>
    </row>
    <row r="28" spans="1:8" ht="18" customHeight="1">
      <c r="B28" s="12"/>
      <c r="C28" s="51">
        <f>280986.145397896*(0.001)</f>
        <v>280.986145397896</v>
      </c>
      <c r="D28" s="51">
        <f>535104.694786331*(0.001)</f>
        <v>535.10469478633127</v>
      </c>
      <c r="E28" s="51">
        <f>451.114*(0.001)</f>
        <v>0.45111399999999996</v>
      </c>
      <c r="F28" s="51">
        <f>208743.554251*(0.001)</f>
        <v>208.74355425100003</v>
      </c>
      <c r="G28" s="51">
        <f>59456.2824985469*(0.001)</f>
        <v>59.456282498546905</v>
      </c>
      <c r="H28" s="53">
        <f>1084741.79093377*(0.001)</f>
        <v>1084.7417909337742</v>
      </c>
    </row>
    <row r="29" spans="1:8" ht="18" customHeight="1">
      <c r="B29" s="14"/>
      <c r="C29" s="52">
        <f>260166.282895419*(0.001)</f>
        <v>260.16628289541944</v>
      </c>
      <c r="D29" s="52">
        <f>534536.71369665*(0.001)</f>
        <v>534.53671369665005</v>
      </c>
      <c r="E29" s="52">
        <f>418.451*(0.001)</f>
        <v>0.41845100000000002</v>
      </c>
      <c r="F29" s="52">
        <f>202052.479958*(0.001)</f>
        <v>202.05247995799999</v>
      </c>
      <c r="G29" s="52">
        <f>60978.8538094533*(0.001)</f>
        <v>60.978853809453312</v>
      </c>
      <c r="H29" s="54">
        <f>1058152.78135952*(0.001)</f>
        <v>1058.1527813595228</v>
      </c>
    </row>
    <row r="30" spans="1:8" ht="18" customHeight="1">
      <c r="B30" s="12"/>
      <c r="C30" s="51">
        <f>303997.833761359*(0.001)</f>
        <v>303.9978337613594</v>
      </c>
      <c r="D30" s="51">
        <f>542582.209372042*(0.001)</f>
        <v>542.58220937204214</v>
      </c>
      <c r="E30" s="51">
        <f>456.093*(0.001)</f>
        <v>0.45609300000000003</v>
      </c>
      <c r="F30" s="51">
        <f>196904.029792*(0.001)</f>
        <v>196.90402979199999</v>
      </c>
      <c r="G30" s="51">
        <f>58762.5833629983*(0.001)</f>
        <v>58.762583362998299</v>
      </c>
      <c r="H30" s="53">
        <f>1102702.7492884*(0.001)</f>
        <v>1102.7027492883997</v>
      </c>
    </row>
    <row r="31" spans="1:8" ht="18" customHeight="1">
      <c r="B31" s="14">
        <v>2015</v>
      </c>
      <c r="C31" s="52">
        <f>271427.997132701*(0.001)</f>
        <v>271.42799713270074</v>
      </c>
      <c r="D31" s="52">
        <f>517285.159452768*(0.001)</f>
        <v>517.2851594527682</v>
      </c>
      <c r="E31" s="52">
        <f>489.239*(0.001)</f>
        <v>0.48923899999999998</v>
      </c>
      <c r="F31" s="52">
        <f>194807.445391*(0.001)</f>
        <v>194.80744539100002</v>
      </c>
      <c r="G31" s="52">
        <f>56624.0072372649*(0.001)</f>
        <v>56.624007237264905</v>
      </c>
      <c r="H31" s="54">
        <f>1040633.84821373*(0.001)</f>
        <v>1040.6338482137337</v>
      </c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I9:W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4"/>
  <sheetViews>
    <sheetView showGridLines="0" tabSelected="1" zoomScale="130" zoomScaleNormal="130" workbookViewId="0">
      <selection activeCell="P18" sqref="P18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9" style="1" customWidth="1"/>
    <col min="15" max="15" width="7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25" ht="20.25" customHeight="1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3"/>
      <c r="Q2" s="61" t="s">
        <v>7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3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3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3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>
      <c r="A6" s="42"/>
      <c r="C6" s="3"/>
      <c r="O6" s="43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>
      <c r="A7" s="42"/>
      <c r="C7" s="3"/>
      <c r="O7" s="43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>
      <c r="A8" s="42"/>
      <c r="C8" s="3"/>
      <c r="O8" s="43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>
      <c r="A9" s="42"/>
      <c r="C9" s="3"/>
      <c r="O9" s="43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>
      <c r="A10" s="42"/>
      <c r="C10" s="3"/>
      <c r="O10" s="43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>
      <c r="A11" s="42"/>
      <c r="C11" s="3"/>
      <c r="O11" s="43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>
      <c r="A12" s="42"/>
      <c r="C12" s="3"/>
      <c r="O12" s="43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>
      <c r="A13" s="42"/>
      <c r="C13" s="3"/>
      <c r="O13" s="43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>
      <c r="A14" s="42"/>
      <c r="C14" s="3"/>
      <c r="O14" s="43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>
      <c r="A15" s="42"/>
      <c r="C15" s="3"/>
      <c r="O15" s="43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>
      <c r="A16" s="42"/>
      <c r="C16" s="3"/>
      <c r="O16" s="43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>
      <c r="A17" s="42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4"/>
      <c r="P17" s="17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>
      <c r="A18" s="42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4"/>
      <c r="P18" s="17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>
      <c r="A19" s="42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44"/>
      <c r="P19" s="17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>
      <c r="A20" s="42"/>
      <c r="B20" s="19"/>
      <c r="C20" s="20"/>
      <c r="D20" s="19"/>
      <c r="E20" s="50"/>
      <c r="F20" s="19"/>
      <c r="G20" s="50"/>
      <c r="H20" s="19"/>
      <c r="I20" s="50"/>
      <c r="J20" s="19"/>
      <c r="K20" s="50"/>
      <c r="L20" s="19"/>
      <c r="M20" s="50"/>
      <c r="N20" s="19"/>
      <c r="O20" s="44"/>
      <c r="P20" s="17"/>
    </row>
    <row r="21" spans="1:25" ht="11.25" customHeight="1">
      <c r="A21" s="45"/>
      <c r="B21" s="46"/>
      <c r="C21" s="47"/>
      <c r="D21" s="46"/>
      <c r="E21" s="49"/>
      <c r="F21" s="46"/>
      <c r="G21" s="49"/>
      <c r="H21" s="46"/>
      <c r="I21" s="49"/>
      <c r="J21" s="46"/>
      <c r="K21" s="49"/>
      <c r="L21" s="46"/>
      <c r="M21" s="49"/>
      <c r="N21" s="46"/>
      <c r="O21" s="48"/>
      <c r="P21" s="17"/>
    </row>
    <row r="22" spans="1:25" ht="16.5" customHeight="1">
      <c r="B22" s="17"/>
      <c r="C22" s="18"/>
      <c r="D22" s="21"/>
      <c r="E22" s="21"/>
      <c r="F22" s="21"/>
      <c r="G22" s="21"/>
      <c r="H22" s="21"/>
      <c r="I22" s="21"/>
      <c r="J22" s="21"/>
      <c r="K22" s="21"/>
      <c r="L22" s="21"/>
      <c r="M22" s="17"/>
      <c r="N22" s="17"/>
      <c r="O22" s="17"/>
      <c r="P22" s="17"/>
    </row>
    <row r="23" spans="1:25" ht="21.75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25" ht="6.75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25" ht="6" customHeight="1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25" ht="4.5" customHeight="1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6" customHeight="1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.75" customHeight="1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25" ht="4.5" customHeight="1">
      <c r="B29" s="17"/>
      <c r="C29" s="17"/>
      <c r="D29" s="17"/>
      <c r="E29" s="17"/>
      <c r="F29" s="17"/>
      <c r="G29" s="17"/>
      <c r="H29" s="35"/>
      <c r="I29" s="35"/>
      <c r="J29" s="35"/>
      <c r="K29" s="35"/>
      <c r="L29" s="35"/>
      <c r="M29" s="17"/>
      <c r="N29" s="17"/>
      <c r="O29" s="17"/>
      <c r="P29" s="17"/>
    </row>
    <row r="30" spans="1:25" ht="18" customHeight="1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17"/>
      <c r="N30" s="17"/>
      <c r="O30" s="17"/>
      <c r="P30" s="17"/>
    </row>
    <row r="31" spans="1:25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7"/>
      <c r="N31" s="17"/>
      <c r="O31" s="17"/>
      <c r="P31" s="17"/>
    </row>
    <row r="32" spans="1:25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7"/>
      <c r="N32" s="17"/>
      <c r="O32" s="17"/>
      <c r="P32" s="17"/>
    </row>
    <row r="33" spans="2:16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2:16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2016-05-19T08:04:58Z</cp:lastPrinted>
  <dcterms:created xsi:type="dcterms:W3CDTF">2010-08-25T11:28:54Z</dcterms:created>
  <dcterms:modified xsi:type="dcterms:W3CDTF">2018-06-13T08:15:46Z</dcterms:modified>
</cp:coreProperties>
</file>