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1_Flaeche\4-1-2_Flaechenverbrauch\"/>
    </mc:Choice>
  </mc:AlternateContent>
  <xr:revisionPtr revIDLastSave="0" documentId="13_ncr:1_{483A95C6-31AE-4747-BEC3-B900313E96F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24" r:id="rId1"/>
    <sheet name="Diagramm" sheetId="23" r:id="rId2"/>
  </sheets>
  <definedNames>
    <definedName name="Beschriftung" localSheetId="0">OFFSET(Daten!$B$10,0,0,COUNTA(Daten!$B$10:$B$22),-1)</definedName>
    <definedName name="Beschriftung">OFFSET(#REF!,0,0,COUNTA(#REF!),-1)</definedName>
    <definedName name="Daten01" localSheetId="0">OFFSET(Daten!$C$10,0,0,COUNTA(Daten!$C$10:$C$22),-1)</definedName>
    <definedName name="Daten01">OFFSET(#REF!,0,0,COUNTA(#REF!),-1)</definedName>
    <definedName name="Daten02" localSheetId="0">OFFSET(Daten!#REF!,0,0,COUNTA(Daten!#REF!),-1)</definedName>
    <definedName name="Daten02" localSheetId="1">OFFSET(#REF!,0,0,COUNTA(#REF!),-1)</definedName>
    <definedName name="Daten02">OFFSET(#REF!,0,0,COUNTA(#REF!),-1)</definedName>
    <definedName name="Daten03" localSheetId="0">OFFSET(Daten!#REF!,0,0,COUNTA(Daten!#REF!),-1)</definedName>
    <definedName name="Daten03" localSheetId="1">OFFSET(#REF!,0,0,COUNTA(#REF!),-1)</definedName>
    <definedName name="Daten03">OFFSET(#REF!,0,0,COUNTA(#REF!),-1)</definedName>
    <definedName name="Daten04" localSheetId="0">OFFSET(Daten!#REF!,0,0,COUNTA(Daten!#REF!),-1)</definedName>
    <definedName name="Daten04" localSheetId="1">OFFSET(#REF!,0,0,COUNTA(#REF!),-1)</definedName>
    <definedName name="Daten04">OFFSET(#REF!,0,0,COUNTA(#REF!),-1)</definedName>
    <definedName name="Daten05" localSheetId="0">OFFSET(Daten!#REF!,0,0,COUNTA(Daten!#REF!),-1)</definedName>
    <definedName name="Daten05" localSheetId="1">OFFSET(#REF!,0,0,COUNTA(#REF!),-1)</definedName>
    <definedName name="Daten05">OFFSET(#REF!,0,0,COUNTA(#REF!),-1)</definedName>
    <definedName name="Daten06" localSheetId="0">OFFSET(Daten!#REF!,0,0,COUNTA(Daten!#REF!),-1)</definedName>
    <definedName name="Daten06" localSheetId="1">OFFSET(#REF!,0,0,COUNTA(#REF!),-1)</definedName>
    <definedName name="Daten06">OFFSET(#REF!,0,0,COUNTA(#REF!),-1)</definedName>
    <definedName name="Daten07" localSheetId="0">OFFSET(Daten!#REF!,0,0,COUNTA(Daten!#REF!),-1)</definedName>
    <definedName name="Daten07" localSheetId="1">OFFSET(#REF!,0,0,COUNTA(#REF!),-1)</definedName>
    <definedName name="Daten07">OFFSET(#REF!,0,0,COUNTA(#REF!),-1)</definedName>
    <definedName name="Daten08" localSheetId="0">OFFSET(Daten!#REF!,0,0,COUNTA(Daten!#REF!),-1)</definedName>
    <definedName name="Daten08" localSheetId="1">OFFSET(#REF!,0,0,COUNTA(#REF!),-1)</definedName>
    <definedName name="Daten08">OFFSET(#REF!,0,0,COUNTA(#REF!),-1)</definedName>
    <definedName name="Daten09" localSheetId="0">OFFSET(Daten!#REF!,0,0,COUNTA(Daten!#REF!),-1)</definedName>
    <definedName name="Daten09" localSheetId="1">OFFSET(#REF!,0,0,COUNTA(#REF!),-1)</definedName>
    <definedName name="Daten09">OFFSET(#REF!,0,0,COUNTA(#REF!),-1)</definedName>
    <definedName name="Daten10" localSheetId="0">OFFSET(Daten!#REF!,0,0,COUNTA(Daten!#REF!),-1)</definedName>
    <definedName name="Daten10" localSheetId="1">OFFSET(#REF!,0,0,COUNTA(#REF!),-1)</definedName>
    <definedName name="Daten10">OFFSET(#REF!,0,0,COUNTA(#REF!),-1)</definedName>
    <definedName name="Print_Area" localSheetId="0">Daten!$A$1:$W$37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2" i="24" l="1"/>
  <c r="T41" i="24"/>
  <c r="W40" i="24" l="1"/>
  <c r="V40" i="24"/>
  <c r="T40" i="24"/>
  <c r="R40" i="24"/>
  <c r="Q40" i="24"/>
  <c r="P40" i="24"/>
  <c r="O40" i="24"/>
  <c r="N40" i="24"/>
  <c r="L40" i="24"/>
  <c r="K40" i="24"/>
  <c r="J40" i="24"/>
  <c r="I40" i="24"/>
  <c r="G40" i="24"/>
  <c r="F40" i="24"/>
  <c r="E40" i="24"/>
  <c r="C40" i="24"/>
  <c r="T39" i="24" l="1"/>
  <c r="R39" i="24"/>
  <c r="Q39" i="24"/>
  <c r="P39" i="24"/>
  <c r="O39" i="24"/>
  <c r="N39" i="24"/>
  <c r="L39" i="24"/>
  <c r="K39" i="24"/>
  <c r="J39" i="24"/>
  <c r="I39" i="24"/>
  <c r="G39" i="24"/>
  <c r="F39" i="24"/>
  <c r="E39" i="24"/>
  <c r="C39" i="24"/>
  <c r="V39" i="24" s="1"/>
  <c r="V41" i="24" s="1"/>
  <c r="W41" i="24" s="1"/>
  <c r="W39" i="24" l="1"/>
  <c r="T38" i="24"/>
  <c r="R38" i="24"/>
  <c r="Q38" i="24"/>
  <c r="P38" i="24"/>
  <c r="O38" i="24"/>
  <c r="N38" i="24"/>
  <c r="L38" i="24"/>
  <c r="K38" i="24"/>
  <c r="J38" i="24"/>
  <c r="I38" i="24"/>
  <c r="G38" i="24"/>
  <c r="F38" i="24"/>
  <c r="E38" i="24"/>
  <c r="C38" i="24"/>
  <c r="C37" i="24"/>
  <c r="V38" i="24" l="1"/>
  <c r="W38" i="24"/>
  <c r="T37" i="24"/>
  <c r="R37" i="24"/>
  <c r="Q37" i="24"/>
  <c r="P37" i="24"/>
  <c r="O37" i="24"/>
  <c r="N37" i="24"/>
  <c r="L37" i="24"/>
  <c r="K37" i="24"/>
  <c r="J37" i="24"/>
  <c r="I37" i="24"/>
  <c r="G37" i="24"/>
  <c r="F37" i="24"/>
  <c r="E37" i="24"/>
  <c r="C36" i="24"/>
  <c r="V37" i="24" l="1"/>
  <c r="T36" i="24"/>
  <c r="R36" i="24"/>
  <c r="Q36" i="24"/>
  <c r="P36" i="24"/>
  <c r="O36" i="24"/>
  <c r="N36" i="24"/>
  <c r="L36" i="24"/>
  <c r="K36" i="24"/>
  <c r="J36" i="24"/>
  <c r="I36" i="24"/>
  <c r="G36" i="24"/>
  <c r="F36" i="24"/>
  <c r="E36" i="24"/>
  <c r="C35" i="24"/>
  <c r="W37" i="24" l="1"/>
  <c r="V36" i="24"/>
  <c r="T35" i="24"/>
  <c r="R35" i="24"/>
  <c r="Q35" i="24"/>
  <c r="P35" i="24"/>
  <c r="O35" i="24"/>
  <c r="N35" i="24"/>
  <c r="L35" i="24"/>
  <c r="K35" i="24"/>
  <c r="J35" i="24"/>
  <c r="I35" i="24"/>
  <c r="G35" i="24"/>
  <c r="F35" i="24"/>
  <c r="E35" i="24"/>
  <c r="C29" i="24"/>
  <c r="C30" i="24"/>
  <c r="C31" i="24"/>
  <c r="C32" i="24"/>
  <c r="C33" i="24"/>
  <c r="V33" i="24" s="1"/>
  <c r="T34" i="24"/>
  <c r="R34" i="24"/>
  <c r="Q34" i="24"/>
  <c r="P34" i="24"/>
  <c r="O34" i="24"/>
  <c r="N34" i="24"/>
  <c r="L34" i="24"/>
  <c r="K34" i="24"/>
  <c r="J34" i="24"/>
  <c r="I34" i="24"/>
  <c r="G34" i="24"/>
  <c r="F34" i="24"/>
  <c r="E34" i="24"/>
  <c r="C34" i="24"/>
  <c r="W36" i="24" l="1"/>
  <c r="V35" i="24"/>
  <c r="W35" i="24" s="1"/>
  <c r="V34" i="24"/>
  <c r="V32" i="24"/>
  <c r="W32" i="24" s="1"/>
  <c r="W33" i="24"/>
  <c r="W34" i="24" l="1"/>
  <c r="AJ3" i="24"/>
  <c r="V10" i="24" l="1"/>
  <c r="V11" i="24"/>
  <c r="W11" i="24" s="1"/>
  <c r="V12" i="24"/>
  <c r="W12" i="24" s="1"/>
  <c r="V13" i="24"/>
  <c r="W13" i="24" s="1"/>
  <c r="V14" i="24"/>
  <c r="W14" i="24" s="1"/>
  <c r="V15" i="24"/>
  <c r="W15" i="24" s="1"/>
  <c r="V16" i="24"/>
  <c r="W16" i="24" s="1"/>
  <c r="V17" i="24"/>
  <c r="W17" i="24" s="1"/>
  <c r="V18" i="24"/>
  <c r="W18" i="24" s="1"/>
  <c r="V19" i="24"/>
  <c r="W19" i="24" s="1"/>
  <c r="V20" i="24"/>
  <c r="W20" i="24" s="1"/>
  <c r="V21" i="24"/>
  <c r="W21" i="24" s="1"/>
  <c r="V22" i="24"/>
  <c r="W22" i="24" s="1"/>
  <c r="V23" i="24"/>
  <c r="W23" i="24" s="1"/>
  <c r="V24" i="24"/>
  <c r="W24" i="24" s="1"/>
  <c r="V25" i="24"/>
  <c r="W25" i="24" s="1"/>
  <c r="V26" i="24"/>
  <c r="W26" i="24" s="1"/>
  <c r="V27" i="24"/>
  <c r="W27" i="24" s="1"/>
  <c r="V28" i="24"/>
  <c r="W28" i="24" s="1"/>
  <c r="V29" i="24"/>
  <c r="W29" i="24" s="1"/>
  <c r="V30" i="24"/>
  <c r="W30" i="24" s="1"/>
  <c r="W10" i="24" l="1"/>
  <c r="V31" i="24"/>
  <c r="W31" i="24" s="1"/>
</calcChain>
</file>

<file path=xl/sharedStrings.xml><?xml version="1.0" encoding="utf-8"?>
<sst xmlns="http://schemas.openxmlformats.org/spreadsheetml/2006/main" count="38" uniqueCount="36">
  <si>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</si>
  <si>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</si>
  <si>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</si>
  <si>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</si>
  <si>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</si>
  <si>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</si>
  <si>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</si>
  <si>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</si>
  <si>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</si>
  <si>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</si>
  <si>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</si>
  <si>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Torf</t>
  </si>
  <si>
    <t>Braunkohle (Herkunft)</t>
  </si>
  <si>
    <t>Bims</t>
  </si>
  <si>
    <t>Quarzsande</t>
  </si>
  <si>
    <t>Industriemineralien</t>
  </si>
  <si>
    <t>Gips- und Anhydritstein</t>
  </si>
  <si>
    <t>gebrochene Natursteine</t>
  </si>
  <si>
    <t>Bausand, Baukies etc</t>
  </si>
  <si>
    <t>Kalkstein und Dolomitsteine</t>
  </si>
  <si>
    <t>Naturwerksteine</t>
  </si>
  <si>
    <t>Baumineralien</t>
  </si>
  <si>
    <t>Hektar pro Tag</t>
  </si>
  <si>
    <t>Feldspat u. sonst. Sande (ab 2015)</t>
  </si>
  <si>
    <t>Braunkohle Niedersachsen</t>
  </si>
  <si>
    <t>Braunkohle Mitteldeutschland</t>
  </si>
  <si>
    <t>Braunkohle Lausitz</t>
  </si>
  <si>
    <t>Braunkohle Rheinland</t>
  </si>
  <si>
    <t>Am Tag</t>
  </si>
  <si>
    <t>Lehm und Ziegelton (bis 2017)</t>
  </si>
  <si>
    <t>Lavaschlacke und -sand (ab 2015)</t>
  </si>
  <si>
    <t>Flächenverbrauch durch inländische Entnahme von Rohstoffen im Tagebau*</t>
  </si>
  <si>
    <t>* Erdöl, Erd- und Grubengas sind in dieser Abbildung aufgrund der geringen inländischen Flächenrelevanz nicht aufgeführt.</t>
  </si>
  <si>
    <t>Grob- und feinkeramische Tone und Rohkaolin</t>
  </si>
  <si>
    <t>Deutschland 1994 bis 2024</t>
  </si>
  <si>
    <t xml:space="preserve">Berechnungen des Umweltbundesamtes 2026, Datenquellen: BGR Bericht zur Rohstoffsituation in Deutschland 2024, erschienen am 22.12.2025/ abgerufen am 16.01.2026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</si>
</sst>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#,##0.00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  <xf numFmtId="40" fontId="3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19" fillId="0" borderId="0" xfId="0" applyFont="1" applyBorder="1" applyAlignment="1"/>
    <xf numFmtId="164" fontId="23" fillId="0" borderId="0" xfId="0" applyNumberFormat="1" applyFont="1" applyBorder="1" applyAlignment="1">
      <alignment vertical="top" wrapText="1"/>
    </xf>
    <xf numFmtId="0" fontId="19" fillId="0" borderId="0" xfId="0" applyFont="1" applyBorder="1" applyAlignment="1">
      <alignment horizontal="right" indent="1"/>
    </xf>
    <xf numFmtId="0" fontId="20" fillId="0" borderId="0" xfId="0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5" fillId="24" borderId="21" xfId="0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vertical="center"/>
    </xf>
    <xf numFmtId="0" fontId="25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19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19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19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19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0" fontId="24" fillId="24" borderId="0" xfId="0" applyFont="1" applyFill="1" applyBorder="1" applyAlignment="1" applyProtection="1">
      <alignment horizontal="left" vertical="top" wrapText="1"/>
    </xf>
    <xf numFmtId="165" fontId="0" fillId="0" borderId="0" xfId="0" applyNumberFormat="1"/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166" fontId="28" fillId="24" borderId="22" xfId="0" applyNumberFormat="1" applyFont="1" applyFill="1" applyBorder="1" applyAlignment="1">
      <alignment horizontal="center" vertical="center" wrapText="1"/>
    </xf>
    <xf numFmtId="166" fontId="28" fillId="24" borderId="28" xfId="0" applyNumberFormat="1" applyFont="1" applyFill="1" applyBorder="1" applyAlignment="1">
      <alignment horizontal="center" vertical="center" wrapText="1"/>
    </xf>
    <xf numFmtId="166" fontId="28" fillId="26" borderId="22" xfId="0" applyNumberFormat="1" applyFont="1" applyFill="1" applyBorder="1" applyAlignment="1">
      <alignment horizontal="center" vertical="center" wrapText="1"/>
    </xf>
    <xf numFmtId="166" fontId="28" fillId="26" borderId="28" xfId="0" applyNumberFormat="1" applyFont="1" applyFill="1" applyBorder="1" applyAlignment="1">
      <alignment horizontal="center" vertical="center" wrapText="1"/>
    </xf>
    <xf numFmtId="166" fontId="28" fillId="24" borderId="29" xfId="0" applyNumberFormat="1" applyFont="1" applyFill="1" applyBorder="1" applyAlignment="1">
      <alignment horizontal="center" vertical="center" wrapText="1"/>
    </xf>
    <xf numFmtId="166" fontId="28" fillId="24" borderId="30" xfId="0" applyNumberFormat="1" applyFont="1" applyFill="1" applyBorder="1" applyAlignment="1">
      <alignment horizontal="center" vertical="center" wrapText="1"/>
    </xf>
    <xf numFmtId="166" fontId="28" fillId="26" borderId="31" xfId="0" applyNumberFormat="1" applyFont="1" applyFill="1" applyBorder="1" applyAlignment="1">
      <alignment horizontal="center" vertical="center" wrapText="1"/>
    </xf>
    <xf numFmtId="166" fontId="28" fillId="26" borderId="32" xfId="0" applyNumberFormat="1" applyFont="1" applyFill="1" applyBorder="1" applyAlignment="1">
      <alignment horizontal="center" vertical="center" wrapText="1"/>
    </xf>
    <xf numFmtId="166" fontId="28" fillId="24" borderId="31" xfId="0" applyNumberFormat="1" applyFont="1" applyFill="1" applyBorder="1" applyAlignment="1">
      <alignment horizontal="center" vertical="center" wrapText="1"/>
    </xf>
    <xf numFmtId="166" fontId="28" fillId="24" borderId="32" xfId="0" applyNumberFormat="1" applyFont="1" applyFill="1" applyBorder="1" applyAlignment="1">
      <alignment horizontal="center" vertical="center" wrapText="1"/>
    </xf>
    <xf numFmtId="166" fontId="26" fillId="24" borderId="0" xfId="0" applyNumberFormat="1" applyFont="1" applyFill="1" applyProtection="1"/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A7FFC4"/>
      <color rgb="FF9D579A"/>
      <color rgb="FF9D57B8"/>
      <color rgb="FFA86600"/>
      <color rgb="FFE6E6E6"/>
      <color rgb="FFDDDDDD"/>
      <color rgb="FF4D4D4D"/>
      <color rgb="FF5F5F5F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79079736305036E-2"/>
          <c:y val="8.7846263592115573E-2"/>
          <c:w val="0.72430478505897511"/>
          <c:h val="0.784551248028331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Torf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Pt>
            <c:idx val="21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14-49F8-9FD7-10BB13B1DEE1}"/>
              </c:ext>
            </c:extLst>
          </c:dPt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Daten!$C$10:$C$40</c:f>
              <c:numCache>
                <c:formatCode>#,##0.000</c:formatCode>
                <c:ptCount val="31"/>
                <c:pt idx="0">
                  <c:v>1.1044937571603994</c:v>
                </c:pt>
                <c:pt idx="1">
                  <c:v>1.1312712038267778</c:v>
                </c:pt>
                <c:pt idx="2">
                  <c:v>1.1077181518572901</c:v>
                </c:pt>
                <c:pt idx="3">
                  <c:v>1.0903251288644378</c:v>
                </c:pt>
                <c:pt idx="4">
                  <c:v>1.1975821039870278</c:v>
                </c:pt>
                <c:pt idx="5">
                  <c:v>1.2483117543828472</c:v>
                </c:pt>
                <c:pt idx="6">
                  <c:v>1.2635306495015932</c:v>
                </c:pt>
                <c:pt idx="7">
                  <c:v>1.2370787603666302</c:v>
                </c:pt>
                <c:pt idx="8">
                  <c:v>1.1530124825678434</c:v>
                </c:pt>
                <c:pt idx="9">
                  <c:v>1.187436173907864</c:v>
                </c:pt>
                <c:pt idx="10">
                  <c:v>1.2033797783179785</c:v>
                </c:pt>
                <c:pt idx="11">
                  <c:v>1.2164245455626179</c:v>
                </c:pt>
                <c:pt idx="12">
                  <c:v>1.1939585575301834</c:v>
                </c:pt>
                <c:pt idx="13">
                  <c:v>1.2388905335950524</c:v>
                </c:pt>
                <c:pt idx="14">
                  <c:v>1.0951403148528405</c:v>
                </c:pt>
                <c:pt idx="15">
                  <c:v>1.0951403148528405</c:v>
                </c:pt>
                <c:pt idx="16">
                  <c:v>1.0951403148528405</c:v>
                </c:pt>
                <c:pt idx="17">
                  <c:v>1.0814510609171801</c:v>
                </c:pt>
                <c:pt idx="18">
                  <c:v>1.0814510609171801</c:v>
                </c:pt>
                <c:pt idx="19">
                  <c:v>0.92991101984941826</c:v>
                </c:pt>
                <c:pt idx="20">
                  <c:v>1.0511520876112252</c:v>
                </c:pt>
                <c:pt idx="21">
                  <c:v>1.5331964407939767</c:v>
                </c:pt>
                <c:pt idx="22">
                  <c:v>1.694547022587269</c:v>
                </c:pt>
                <c:pt idx="23">
                  <c:v>1.5693360711841207</c:v>
                </c:pt>
                <c:pt idx="24">
                  <c:v>1.7777776865160848</c:v>
                </c:pt>
                <c:pt idx="25">
                  <c:v>1.7040383299110198</c:v>
                </c:pt>
                <c:pt idx="26">
                  <c:v>1.9037188227241615</c:v>
                </c:pt>
                <c:pt idx="27">
                  <c:v>1.9592060232717317</c:v>
                </c:pt>
                <c:pt idx="28">
                  <c:v>1.7595255304585899</c:v>
                </c:pt>
                <c:pt idx="29">
                  <c:v>2.0907225188227243</c:v>
                </c:pt>
                <c:pt idx="30">
                  <c:v>1.6980205338809036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4-49F8-9FD7-10BB13B1DEE1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Braunkohle Niedersachsen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Daten!$D$10:$D$40</c:f>
              <c:numCache>
                <c:formatCode>#,##0.000</c:formatCode>
                <c:ptCount val="31"/>
                <c:pt idx="14">
                  <c:v>2.2460906649818355E-2</c:v>
                </c:pt>
                <c:pt idx="15">
                  <c:v>2.022850523877218E-2</c:v>
                </c:pt>
                <c:pt idx="16">
                  <c:v>2.0891907544884958E-2</c:v>
                </c:pt>
                <c:pt idx="17">
                  <c:v>1.7143158005581006E-2</c:v>
                </c:pt>
                <c:pt idx="18">
                  <c:v>2.1344705944295269E-2</c:v>
                </c:pt>
                <c:pt idx="19">
                  <c:v>1.2594113620807664E-2</c:v>
                </c:pt>
                <c:pt idx="20">
                  <c:v>1.908071394724372E-2</c:v>
                </c:pt>
                <c:pt idx="21">
                  <c:v>1.5521507923971991E-2</c:v>
                </c:pt>
                <c:pt idx="22">
                  <c:v>1.1309429789922602E-2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4-49F8-9FD7-10BB13B1DEE1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Braunkohle Mitteldeutschland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Daten!$E$10:$E$40</c:f>
              <c:numCache>
                <c:formatCode>#,##0.000</c:formatCode>
                <c:ptCount val="31"/>
                <c:pt idx="14">
                  <c:v>0.3734964556319792</c:v>
                </c:pt>
                <c:pt idx="15">
                  <c:v>0.38657304365723255</c:v>
                </c:pt>
                <c:pt idx="16">
                  <c:v>0.38299277724329051</c:v>
                </c:pt>
                <c:pt idx="17">
                  <c:v>0.37271147743427002</c:v>
                </c:pt>
                <c:pt idx="18">
                  <c:v>0.36807819148681564</c:v>
                </c:pt>
                <c:pt idx="19">
                  <c:v>0.37495153716919627</c:v>
                </c:pt>
                <c:pt idx="20">
                  <c:v>0.40074094283539868</c:v>
                </c:pt>
                <c:pt idx="21">
                  <c:v>0.3623153027670481</c:v>
                </c:pt>
                <c:pt idx="22">
                  <c:v>0.33945520598498008</c:v>
                </c:pt>
                <c:pt idx="23">
                  <c:v>0.36051559665522703</c:v>
                </c:pt>
                <c:pt idx="24">
                  <c:v>0.36819301848049285</c:v>
                </c:pt>
                <c:pt idx="25">
                  <c:v>0.27778644763860372</c:v>
                </c:pt>
                <c:pt idx="26">
                  <c:v>0.24443449691991789</c:v>
                </c:pt>
                <c:pt idx="27">
                  <c:v>0.3227600273785079</c:v>
                </c:pt>
                <c:pt idx="28">
                  <c:v>0.32519151266255991</c:v>
                </c:pt>
                <c:pt idx="29">
                  <c:v>0.2358381930184805</c:v>
                </c:pt>
                <c:pt idx="30">
                  <c:v>0.19609144421629021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4-49F8-9FD7-10BB13B1DEE1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Braunkohle Lausitz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Daten!$F$10:$F$40</c:f>
              <c:numCache>
                <c:formatCode>#,##0.000</c:formatCode>
                <c:ptCount val="31"/>
                <c:pt idx="14">
                  <c:v>1.1084849442138971</c:v>
                </c:pt>
                <c:pt idx="15">
                  <c:v>1.0670342662129111</c:v>
                </c:pt>
                <c:pt idx="16">
                  <c:v>1.0850504731408224</c:v>
                </c:pt>
                <c:pt idx="17">
                  <c:v>1.1442110251145159</c:v>
                </c:pt>
                <c:pt idx="18">
                  <c:v>1.1954835034917171</c:v>
                </c:pt>
                <c:pt idx="19">
                  <c:v>1.2176734969342773</c:v>
                </c:pt>
                <c:pt idx="20">
                  <c:v>1.1834790808096765</c:v>
                </c:pt>
                <c:pt idx="21">
                  <c:v>1.1956941073984195</c:v>
                </c:pt>
                <c:pt idx="22">
                  <c:v>1.1926307778463836</c:v>
                </c:pt>
                <c:pt idx="23">
                  <c:v>1.1719150117507406</c:v>
                </c:pt>
                <c:pt idx="24">
                  <c:v>1.1620741957563314</c:v>
                </c:pt>
                <c:pt idx="25">
                  <c:v>0.99554387405886391</c:v>
                </c:pt>
                <c:pt idx="26">
                  <c:v>0.82796057494866526</c:v>
                </c:pt>
                <c:pt idx="27">
                  <c:v>0.8963110198494183</c:v>
                </c:pt>
                <c:pt idx="28">
                  <c:v>0.92899301848049287</c:v>
                </c:pt>
                <c:pt idx="29">
                  <c:v>0.79820807665982207</c:v>
                </c:pt>
                <c:pt idx="30">
                  <c:v>0.72461136208076671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4-49F8-9FD7-10BB13B1DEE1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Braunkohle Rheinland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Daten!$G$10:$G$40</c:f>
              <c:numCache>
                <c:formatCode>#,##0.000</c:formatCode>
                <c:ptCount val="31"/>
                <c:pt idx="14">
                  <c:v>0.57632059931854585</c:v>
                </c:pt>
                <c:pt idx="15">
                  <c:v>0.5536656362118374</c:v>
                </c:pt>
                <c:pt idx="16">
                  <c:v>0.54601770577129916</c:v>
                </c:pt>
                <c:pt idx="17">
                  <c:v>0.57551428721859932</c:v>
                </c:pt>
                <c:pt idx="18">
                  <c:v>0.61218945325721497</c:v>
                </c:pt>
                <c:pt idx="19">
                  <c:v>0.59159840843619083</c:v>
                </c:pt>
                <c:pt idx="20">
                  <c:v>0.56334138141119661</c:v>
                </c:pt>
                <c:pt idx="21">
                  <c:v>0.57292686779339752</c:v>
                </c:pt>
                <c:pt idx="22">
                  <c:v>0.54426668471843009</c:v>
                </c:pt>
                <c:pt idx="23">
                  <c:v>0.5490744710457236</c:v>
                </c:pt>
                <c:pt idx="24">
                  <c:v>0.51947570157426426</c:v>
                </c:pt>
                <c:pt idx="25">
                  <c:v>0.38996030116358654</c:v>
                </c:pt>
                <c:pt idx="26">
                  <c:v>0.30907624914442167</c:v>
                </c:pt>
                <c:pt idx="27">
                  <c:v>0.3765839835728953</c:v>
                </c:pt>
                <c:pt idx="28">
                  <c:v>0.39289062286105408</c:v>
                </c:pt>
                <c:pt idx="29">
                  <c:v>0.29024832306639292</c:v>
                </c:pt>
                <c:pt idx="30">
                  <c:v>0.26386858316221767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14-49F8-9FD7-10BB13B1DEE1}"/>
            </c:ext>
          </c:extLst>
        </c:ser>
        <c:ser>
          <c:idx val="6"/>
          <c:order val="5"/>
          <c:tx>
            <c:strRef>
              <c:f>Daten!$H$9</c:f>
              <c:strCache>
                <c:ptCount val="1"/>
                <c:pt idx="0">
                  <c:v>Braunkohle (Herkunft)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Daten!$H$10:$H$40</c:f>
              <c:numCache>
                <c:formatCode>#,##0.000</c:formatCode>
                <c:ptCount val="31"/>
                <c:pt idx="0">
                  <c:v>2.4731197448138822</c:v>
                </c:pt>
                <c:pt idx="1">
                  <c:v>2.3019438900456479</c:v>
                </c:pt>
                <c:pt idx="2">
                  <c:v>2.236105139593922</c:v>
                </c:pt>
                <c:pt idx="3">
                  <c:v>2.115725200440393</c:v>
                </c:pt>
                <c:pt idx="4">
                  <c:v>1.9828653965631102</c:v>
                </c:pt>
                <c:pt idx="5">
                  <c:v>1.9261267962735853</c:v>
                </c:pt>
                <c:pt idx="6">
                  <c:v>2.0026779282154621</c:v>
                </c:pt>
                <c:pt idx="7">
                  <c:v>2.0942765525515301</c:v>
                </c:pt>
                <c:pt idx="8">
                  <c:v>2.1708754543105315</c:v>
                </c:pt>
                <c:pt idx="9">
                  <c:v>2.1405057930736837</c:v>
                </c:pt>
                <c:pt idx="10">
                  <c:v>2.172642937544135</c:v>
                </c:pt>
                <c:pt idx="11">
                  <c:v>2.1246462137883775</c:v>
                </c:pt>
                <c:pt idx="12">
                  <c:v>2.1057413086613899</c:v>
                </c:pt>
                <c:pt idx="13">
                  <c:v>2.1545859466711055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14-49F8-9FD7-10BB13B1DEE1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Bims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Daten!$I$10:$I$40</c:f>
              <c:numCache>
                <c:formatCode>#,##0.000</c:formatCode>
                <c:ptCount val="31"/>
                <c:pt idx="14">
                  <c:v>8.4873374401095141E-3</c:v>
                </c:pt>
                <c:pt idx="15">
                  <c:v>8.4873374401095141E-3</c:v>
                </c:pt>
                <c:pt idx="16">
                  <c:v>8.2135523613963042E-3</c:v>
                </c:pt>
                <c:pt idx="17">
                  <c:v>8.2135523613963042E-3</c:v>
                </c:pt>
                <c:pt idx="18">
                  <c:v>8.2135523613963042E-3</c:v>
                </c:pt>
                <c:pt idx="19">
                  <c:v>3.8658453114305276E-2</c:v>
                </c:pt>
                <c:pt idx="20">
                  <c:v>3.2854209445585217E-2</c:v>
                </c:pt>
                <c:pt idx="21">
                  <c:v>9.1383375161609257E-2</c:v>
                </c:pt>
                <c:pt idx="22">
                  <c:v>9.1080669710806708E-2</c:v>
                </c:pt>
                <c:pt idx="23">
                  <c:v>8.8767123287671224E-2</c:v>
                </c:pt>
                <c:pt idx="24">
                  <c:v>9.3756057494866527E-2</c:v>
                </c:pt>
                <c:pt idx="25">
                  <c:v>4.4243668720054759E-2</c:v>
                </c:pt>
                <c:pt idx="26">
                  <c:v>3.9534565366187546E-2</c:v>
                </c:pt>
                <c:pt idx="27">
                  <c:v>3.8986995208761123E-2</c:v>
                </c:pt>
                <c:pt idx="28">
                  <c:v>3.6741957563312798E-2</c:v>
                </c:pt>
                <c:pt idx="29">
                  <c:v>3.6741957563312798E-2</c:v>
                </c:pt>
                <c:pt idx="30">
                  <c:v>4.6926762491444216E-2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14-49F8-9FD7-10BB13B1DEE1}"/>
            </c:ext>
          </c:extLst>
        </c:ser>
        <c:ser>
          <c:idx val="8"/>
          <c:order val="7"/>
          <c:tx>
            <c:strRef>
              <c:f>Daten!$J$9</c:f>
              <c:strCache>
                <c:ptCount val="1"/>
                <c:pt idx="0">
                  <c:v>Grob- und feinkeramische Tone und Rohkaolin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Daten!$J$10:$J$40</c:f>
              <c:numCache>
                <c:formatCode>#,##0.000</c:formatCode>
                <c:ptCount val="31"/>
                <c:pt idx="14">
                  <c:v>0.14062597224814882</c:v>
                </c:pt>
                <c:pt idx="15">
                  <c:v>0.14311492750917801</c:v>
                </c:pt>
                <c:pt idx="16">
                  <c:v>0.14656341235766285</c:v>
                </c:pt>
                <c:pt idx="17">
                  <c:v>0.15182627092278017</c:v>
                </c:pt>
                <c:pt idx="18">
                  <c:v>0.13563561694978529</c:v>
                </c:pt>
                <c:pt idx="19">
                  <c:v>0.13191462883454669</c:v>
                </c:pt>
                <c:pt idx="20">
                  <c:v>0.13725343786945429</c:v>
                </c:pt>
                <c:pt idx="21">
                  <c:v>0.14606433949349759</c:v>
                </c:pt>
                <c:pt idx="22">
                  <c:v>0.13123016613776367</c:v>
                </c:pt>
                <c:pt idx="23">
                  <c:v>5.9002758592080977E-2</c:v>
                </c:pt>
                <c:pt idx="24">
                  <c:v>0.32123504449007528</c:v>
                </c:pt>
                <c:pt idx="25">
                  <c:v>0.32248980150581791</c:v>
                </c:pt>
                <c:pt idx="26">
                  <c:v>0.3210173853524983</c:v>
                </c:pt>
                <c:pt idx="27">
                  <c:v>0.32926598220396991</c:v>
                </c:pt>
                <c:pt idx="28">
                  <c:v>0.32625626283367559</c:v>
                </c:pt>
                <c:pt idx="29">
                  <c:v>0.20594633812457222</c:v>
                </c:pt>
                <c:pt idx="30">
                  <c:v>0.15953593429158111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14-49F8-9FD7-10BB13B1DEE1}"/>
            </c:ext>
          </c:extLst>
        </c:ser>
        <c:ser>
          <c:idx val="0"/>
          <c:order val="8"/>
          <c:tx>
            <c:strRef>
              <c:f>Daten!$K$9</c:f>
              <c:strCache>
                <c:ptCount val="1"/>
                <c:pt idx="0">
                  <c:v>Feldspat u. sonst. Sande (ab 2015)</c:v>
                </c:pt>
              </c:strCache>
            </c:strRef>
          </c:tx>
          <c:spPr>
            <a:solidFill>
              <a:srgbClr val="E9C4AD"/>
            </a:solidFill>
            <a:ln>
              <a:solidFill>
                <a:srgbClr val="E9C4A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Daten!$K$11:$K$40</c:f>
              <c:numCache>
                <c:formatCode>#,##0.000</c:formatCode>
                <c:ptCount val="30"/>
                <c:pt idx="20">
                  <c:v>1.2647349608335235E-2</c:v>
                </c:pt>
                <c:pt idx="21">
                  <c:v>1.6133942161339421E-3</c:v>
                </c:pt>
                <c:pt idx="22">
                  <c:v>1.5626585489599189E-3</c:v>
                </c:pt>
                <c:pt idx="23">
                  <c:v>1.4450376454483232E-3</c:v>
                </c:pt>
                <c:pt idx="24">
                  <c:v>1.3434633812457221E-3</c:v>
                </c:pt>
                <c:pt idx="25">
                  <c:v>1.2065708418891171E-3</c:v>
                </c:pt>
                <c:pt idx="26">
                  <c:v>1.267624914442163E-3</c:v>
                </c:pt>
                <c:pt idx="27">
                  <c:v>1.1660506502395619E-3</c:v>
                </c:pt>
                <c:pt idx="28">
                  <c:v>1.6194387405886379E-3</c:v>
                </c:pt>
                <c:pt idx="29">
                  <c:v>1.7919233401779606E-3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14-49F8-9FD7-10BB13B1DEE1}"/>
            </c:ext>
          </c:extLst>
        </c:ser>
        <c:ser>
          <c:idx val="10"/>
          <c:order val="9"/>
          <c:tx>
            <c:strRef>
              <c:f>Daten!$M$9</c:f>
              <c:strCache>
                <c:ptCount val="1"/>
                <c:pt idx="0">
                  <c:v>Industriemineralien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Daten!$M$10:$M$40</c:f>
              <c:numCache>
                <c:formatCode>#,##0.000</c:formatCode>
                <c:ptCount val="31"/>
                <c:pt idx="0">
                  <c:v>0.30968025606826594</c:v>
                </c:pt>
                <c:pt idx="1">
                  <c:v>0.32696323899854685</c:v>
                </c:pt>
                <c:pt idx="2">
                  <c:v>0.31578403089691398</c:v>
                </c:pt>
                <c:pt idx="3">
                  <c:v>0.31068839185523944</c:v>
                </c:pt>
                <c:pt idx="4">
                  <c:v>0.30920129719613859</c:v>
                </c:pt>
                <c:pt idx="5">
                  <c:v>0.31590882205711829</c:v>
                </c:pt>
                <c:pt idx="6">
                  <c:v>0.3076518069569355</c:v>
                </c:pt>
                <c:pt idx="7">
                  <c:v>0.28955708872731584</c:v>
                </c:pt>
                <c:pt idx="8">
                  <c:v>0.27562207583783865</c:v>
                </c:pt>
                <c:pt idx="9">
                  <c:v>0.27267908430968785</c:v>
                </c:pt>
                <c:pt idx="10">
                  <c:v>0.26965289867473419</c:v>
                </c:pt>
                <c:pt idx="11">
                  <c:v>0.25769374582182469</c:v>
                </c:pt>
                <c:pt idx="12">
                  <c:v>0.2654203984911393</c:v>
                </c:pt>
                <c:pt idx="13">
                  <c:v>0.27413498117873769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14-49F8-9FD7-10BB13B1DEE1}"/>
            </c:ext>
          </c:extLst>
        </c:ser>
        <c:ser>
          <c:idx val="9"/>
          <c:order val="10"/>
          <c:tx>
            <c:strRef>
              <c:f>Daten!$L$9</c:f>
              <c:strCache>
                <c:ptCount val="1"/>
                <c:pt idx="0">
                  <c:v>Quarzsande</c:v>
                </c:pt>
              </c:strCache>
            </c:strRef>
          </c:tx>
          <c:spPr>
            <a:solidFill>
              <a:srgbClr val="9D57B8"/>
            </a:solidFill>
            <a:ln>
              <a:solidFill>
                <a:srgbClr val="9D579A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Daten!$L$10:$L$40</c:f>
              <c:numCache>
                <c:formatCode>#,##0.000</c:formatCode>
                <c:ptCount val="31"/>
                <c:pt idx="14">
                  <c:v>0.11255608791543081</c:v>
                </c:pt>
                <c:pt idx="15">
                  <c:v>9.0247674094354441E-2</c:v>
                </c:pt>
                <c:pt idx="16">
                  <c:v>0.1003878621948437</c:v>
                </c:pt>
                <c:pt idx="17">
                  <c:v>0.10647197505513727</c:v>
                </c:pt>
                <c:pt idx="18">
                  <c:v>0.10241589981494156</c:v>
                </c:pt>
                <c:pt idx="19">
                  <c:v>9.835982457474586E-2</c:v>
                </c:pt>
                <c:pt idx="20">
                  <c:v>0.10545795624508834</c:v>
                </c:pt>
                <c:pt idx="21">
                  <c:v>9.835982457474586E-2</c:v>
                </c:pt>
                <c:pt idx="22">
                  <c:v>0.10045662100456622</c:v>
                </c:pt>
                <c:pt idx="23">
                  <c:v>0.10451547437848807</c:v>
                </c:pt>
                <c:pt idx="24">
                  <c:v>0.10849993155373033</c:v>
                </c:pt>
                <c:pt idx="25">
                  <c:v>0.11052813141683779</c:v>
                </c:pt>
                <c:pt idx="26">
                  <c:v>9.9373853524982889E-2</c:v>
                </c:pt>
                <c:pt idx="27">
                  <c:v>0.10849993155373033</c:v>
                </c:pt>
                <c:pt idx="28">
                  <c:v>0.10647200547570157</c:v>
                </c:pt>
                <c:pt idx="29">
                  <c:v>9.2275701574264221E-2</c:v>
                </c:pt>
                <c:pt idx="30">
                  <c:v>0.10849993155373033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14-49F8-9FD7-10BB13B1DEE1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Gips- und Anhydritstein</c:v>
                </c:pt>
              </c:strCache>
            </c:strRef>
          </c:tx>
          <c:spPr>
            <a:solidFill>
              <a:srgbClr val="EEEEEE"/>
            </a:solidFill>
            <a:ln>
              <a:solidFill>
                <a:srgbClr val="EEEEEE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Daten!$N$10:$N$40</c:f>
              <c:numCache>
                <c:formatCode>#,##0.000</c:formatCode>
                <c:ptCount val="31"/>
                <c:pt idx="14">
                  <c:v>2.8747433264887063E-2</c:v>
                </c:pt>
                <c:pt idx="15">
                  <c:v>2.6009582477754964E-2</c:v>
                </c:pt>
                <c:pt idx="16">
                  <c:v>2.4640657084188913E-2</c:v>
                </c:pt>
                <c:pt idx="17">
                  <c:v>2.7652292950034223E-2</c:v>
                </c:pt>
                <c:pt idx="18">
                  <c:v>2.668035592060233E-2</c:v>
                </c:pt>
                <c:pt idx="19">
                  <c:v>2.4339493497604382E-2</c:v>
                </c:pt>
                <c:pt idx="20">
                  <c:v>5.5989048596851471E-2</c:v>
                </c:pt>
                <c:pt idx="21">
                  <c:v>5.7494866529774126E-2</c:v>
                </c:pt>
                <c:pt idx="22">
                  <c:v>5.4383561643835621E-2</c:v>
                </c:pt>
                <c:pt idx="23">
                  <c:v>6.1643835616438353E-2</c:v>
                </c:pt>
                <c:pt idx="24">
                  <c:v>6.2286105407255307E-2</c:v>
                </c:pt>
                <c:pt idx="25">
                  <c:v>6.6392881587953451E-2</c:v>
                </c:pt>
                <c:pt idx="26">
                  <c:v>7.1184120465434639E-2</c:v>
                </c:pt>
                <c:pt idx="27">
                  <c:v>7.488021902806298E-2</c:v>
                </c:pt>
                <c:pt idx="28">
                  <c:v>7.9671457905544155E-2</c:v>
                </c:pt>
                <c:pt idx="29">
                  <c:v>6.4750171115674202E-2</c:v>
                </c:pt>
                <c:pt idx="30">
                  <c:v>6.0506502395619444E-2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14-49F8-9FD7-10BB13B1DEE1}"/>
            </c:ext>
          </c:extLst>
        </c:ser>
        <c:ser>
          <c:idx val="17"/>
          <c:order val="12"/>
          <c:tx>
            <c:strRef>
              <c:f>Daten!$O$9</c:f>
              <c:strCache>
                <c:ptCount val="1"/>
                <c:pt idx="0">
                  <c:v>Lavaschlacke und -sand (ab 2015)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>
              <a:solidFill>
                <a:schemeClr val="tx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Daten!$O$10:$O$40</c:f>
              <c:numCache>
                <c:formatCode>#,##0.000</c:formatCode>
                <c:ptCount val="31"/>
                <c:pt idx="21">
                  <c:v>4.9691991786447641E-2</c:v>
                </c:pt>
                <c:pt idx="22">
                  <c:v>5.6800391389432485E-2</c:v>
                </c:pt>
                <c:pt idx="23">
                  <c:v>5.7886497064579268E-2</c:v>
                </c:pt>
                <c:pt idx="24">
                  <c:v>1.9947159479808352E-2</c:v>
                </c:pt>
                <c:pt idx="25">
                  <c:v>2.2973853524982886E-2</c:v>
                </c:pt>
                <c:pt idx="26">
                  <c:v>3.6824093086926767E-2</c:v>
                </c:pt>
                <c:pt idx="27">
                  <c:v>3.867624914442163E-2</c:v>
                </c:pt>
                <c:pt idx="28">
                  <c:v>3.7959479808350446E-2</c:v>
                </c:pt>
                <c:pt idx="29">
                  <c:v>3.9763175906913077E-2</c:v>
                </c:pt>
                <c:pt idx="30">
                  <c:v>3.4392334017796032E-2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14-49F8-9FD7-10BB13B1DEE1}"/>
            </c:ext>
          </c:extLst>
        </c:ser>
        <c:ser>
          <c:idx val="12"/>
          <c:order val="13"/>
          <c:tx>
            <c:strRef>
              <c:f>Daten!$P$9</c:f>
              <c:strCache>
                <c:ptCount val="1"/>
                <c:pt idx="0">
                  <c:v>gebrochene Natursteine</c:v>
                </c:pt>
              </c:strCache>
            </c:strRef>
          </c:tx>
          <c:spPr>
            <a:solidFill>
              <a:srgbClr val="DDDDDD"/>
            </a:solidFill>
            <a:ln>
              <a:solidFill>
                <a:srgbClr val="DDDDD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Daten!$P$10:$P$40</c:f>
              <c:numCache>
                <c:formatCode>#,##0.000</c:formatCode>
                <c:ptCount val="31"/>
                <c:pt idx="14">
                  <c:v>0.91823303322276617</c:v>
                </c:pt>
                <c:pt idx="15">
                  <c:v>0.91402095508871695</c:v>
                </c:pt>
                <c:pt idx="16">
                  <c:v>0.87611225188227237</c:v>
                </c:pt>
                <c:pt idx="17">
                  <c:v>0.96456589269730952</c:v>
                </c:pt>
                <c:pt idx="18">
                  <c:v>0.8887484862844206</c:v>
                </c:pt>
                <c:pt idx="19">
                  <c:v>0.87190017374822304</c:v>
                </c:pt>
                <c:pt idx="20">
                  <c:v>0.8887484862844206</c:v>
                </c:pt>
                <c:pt idx="21">
                  <c:v>0.88453640815037105</c:v>
                </c:pt>
                <c:pt idx="22">
                  <c:v>0.91886195995785047</c:v>
                </c:pt>
                <c:pt idx="23">
                  <c:v>0.92729188619599578</c:v>
                </c:pt>
                <c:pt idx="24">
                  <c:v>0.95192963723477064</c:v>
                </c:pt>
                <c:pt idx="25">
                  <c:v>0.91402108145106098</c:v>
                </c:pt>
                <c:pt idx="26">
                  <c:v>0.93929336071184122</c:v>
                </c:pt>
                <c:pt idx="27">
                  <c:v>0.9224451745379878</c:v>
                </c:pt>
                <c:pt idx="28">
                  <c:v>0.8845363449691992</c:v>
                </c:pt>
                <c:pt idx="29">
                  <c:v>0.85505188227241613</c:v>
                </c:pt>
                <c:pt idx="30">
                  <c:v>0.17585434633812458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914-49F8-9FD7-10BB13B1DEE1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Bausand, Baukies etc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Daten!$Q$10:$Q$40</c:f>
              <c:numCache>
                <c:formatCode>#,##0.000</c:formatCode>
                <c:ptCount val="31"/>
                <c:pt idx="14">
                  <c:v>2.6364489061272085</c:v>
                </c:pt>
                <c:pt idx="15">
                  <c:v>2.4843460846198693</c:v>
                </c:pt>
                <c:pt idx="16">
                  <c:v>2.4235049560169344</c:v>
                </c:pt>
                <c:pt idx="17">
                  <c:v>2.5654675894237839</c:v>
                </c:pt>
                <c:pt idx="18">
                  <c:v>2.3859862600451236</c:v>
                </c:pt>
                <c:pt idx="19">
                  <c:v>2.3930843917154663</c:v>
                </c:pt>
                <c:pt idx="20">
                  <c:v>2.4133647679164447</c:v>
                </c:pt>
                <c:pt idx="21">
                  <c:v>2.4235049560169344</c:v>
                </c:pt>
                <c:pt idx="22">
                  <c:v>2.506341958396753</c:v>
                </c:pt>
                <c:pt idx="23">
                  <c:v>2.6078132927447997</c:v>
                </c:pt>
                <c:pt idx="24">
                  <c:v>2.6263088295687886</c:v>
                </c:pt>
                <c:pt idx="25">
                  <c:v>2.6263088295687886</c:v>
                </c:pt>
                <c:pt idx="26">
                  <c:v>2.656729363449692</c:v>
                </c:pt>
                <c:pt idx="27">
                  <c:v>2.8088320328542093</c:v>
                </c:pt>
                <c:pt idx="28">
                  <c:v>2.5654674880219028</c:v>
                </c:pt>
                <c:pt idx="29">
                  <c:v>2.3525237508555783</c:v>
                </c:pt>
                <c:pt idx="30">
                  <c:v>2.1395797399041752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14-49F8-9FD7-10BB13B1DEE1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Kalkstein und Dolomitsteine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Daten!$R$10:$R$40</c:f>
              <c:numCache>
                <c:formatCode>#,##0.000</c:formatCode>
                <c:ptCount val="31"/>
                <c:pt idx="14">
                  <c:v>0.30621808034539039</c:v>
                </c:pt>
                <c:pt idx="15">
                  <c:v>0.26241246775127675</c:v>
                </c:pt>
                <c:pt idx="16">
                  <c:v>0.26662454588532619</c:v>
                </c:pt>
                <c:pt idx="17">
                  <c:v>0.27968198810087924</c:v>
                </c:pt>
                <c:pt idx="18">
                  <c:v>0.27378507871321012</c:v>
                </c:pt>
                <c:pt idx="19">
                  <c:v>0.27631232559363977</c:v>
                </c:pt>
                <c:pt idx="20">
                  <c:v>0.26957300057916073</c:v>
                </c:pt>
                <c:pt idx="21">
                  <c:v>0.20607171063023222</c:v>
                </c:pt>
                <c:pt idx="22">
                  <c:v>0.22420653319283457</c:v>
                </c:pt>
                <c:pt idx="23">
                  <c:v>0.23676712328767124</c:v>
                </c:pt>
                <c:pt idx="24">
                  <c:v>0.23133141683778236</c:v>
                </c:pt>
                <c:pt idx="25">
                  <c:v>0.23169801505817933</c:v>
                </c:pt>
                <c:pt idx="26">
                  <c:v>0.2326584531143053</c:v>
                </c:pt>
                <c:pt idx="27">
                  <c:v>0.23238028747433268</c:v>
                </c:pt>
                <c:pt idx="28">
                  <c:v>0.22441533196440797</c:v>
                </c:pt>
                <c:pt idx="29">
                  <c:v>0.18836824093086929</c:v>
                </c:pt>
                <c:pt idx="30">
                  <c:v>6.4670499657768651E-2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14-49F8-9FD7-10BB13B1DEE1}"/>
            </c:ext>
          </c:extLst>
        </c:ser>
        <c:ser>
          <c:idx val="18"/>
          <c:order val="16"/>
          <c:tx>
            <c:strRef>
              <c:f>Daten!$S$9</c:f>
              <c:strCache>
                <c:ptCount val="1"/>
                <c:pt idx="0">
                  <c:v>Lehm und Ziegelton (bis 2017)</c:v>
                </c:pt>
              </c:strCache>
            </c:strRef>
          </c:tx>
          <c:spPr>
            <a:solidFill>
              <a:srgbClr val="A86600"/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Daten!$S$10:$S$40</c:f>
              <c:numCache>
                <c:formatCode>#,##0.000</c:formatCode>
                <c:ptCount val="31"/>
                <c:pt idx="21">
                  <c:v>0.32002986746313228</c:v>
                </c:pt>
                <c:pt idx="22">
                  <c:v>0.36931118163151011</c:v>
                </c:pt>
                <c:pt idx="23">
                  <c:v>0.33043370045423431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914-49F8-9FD7-10BB13B1DEE1}"/>
            </c:ext>
          </c:extLst>
        </c:ser>
        <c:ser>
          <c:idx val="15"/>
          <c:order val="17"/>
          <c:tx>
            <c:strRef>
              <c:f>Daten!$T$9</c:f>
              <c:strCache>
                <c:ptCount val="1"/>
                <c:pt idx="0">
                  <c:v>Naturwerksteine</c:v>
                </c:pt>
              </c:strCache>
            </c:strRef>
          </c:tx>
          <c:spPr>
            <a:solidFill>
              <a:srgbClr val="4D4D4D"/>
            </a:solidFill>
            <a:ln>
              <a:solidFill>
                <a:srgbClr val="4D4D4D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Daten!$T$10:$T$40</c:f>
              <c:numCache>
                <c:formatCode>#,##0.000</c:formatCode>
                <c:ptCount val="31"/>
                <c:pt idx="14">
                  <c:v>4.5279839941030908E-3</c:v>
                </c:pt>
                <c:pt idx="15">
                  <c:v>8.0029484546938357E-3</c:v>
                </c:pt>
                <c:pt idx="16">
                  <c:v>8.9506660348549465E-3</c:v>
                </c:pt>
                <c:pt idx="17">
                  <c:v>9.8141420523350717E-3</c:v>
                </c:pt>
                <c:pt idx="18">
                  <c:v>1.0045806349707788E-2</c:v>
                </c:pt>
                <c:pt idx="19">
                  <c:v>1.0635497288474701E-2</c:v>
                </c:pt>
                <c:pt idx="20">
                  <c:v>1.0424893381772233E-2</c:v>
                </c:pt>
                <c:pt idx="21">
                  <c:v>9.3508134575896375E-3</c:v>
                </c:pt>
                <c:pt idx="22">
                  <c:v>9.0621707060063224E-3</c:v>
                </c:pt>
                <c:pt idx="23">
                  <c:v>9.7576396206533172E-3</c:v>
                </c:pt>
                <c:pt idx="24">
                  <c:v>9.455989048596852E-3</c:v>
                </c:pt>
                <c:pt idx="25">
                  <c:v>9.2665297741273116E-3</c:v>
                </c:pt>
                <c:pt idx="26">
                  <c:v>7.9819301848049282E-3</c:v>
                </c:pt>
                <c:pt idx="27">
                  <c:v>8.9505817932922661E-3</c:v>
                </c:pt>
                <c:pt idx="28">
                  <c:v>9.6035592060232725E-3</c:v>
                </c:pt>
                <c:pt idx="29">
                  <c:v>6.6130047912388778E-3</c:v>
                </c:pt>
                <c:pt idx="30">
                  <c:v>1.7648733744010953E-2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914-49F8-9FD7-10BB13B1DEE1}"/>
            </c:ext>
          </c:extLst>
        </c:ser>
        <c:ser>
          <c:idx val="16"/>
          <c:order val="18"/>
          <c:tx>
            <c:strRef>
              <c:f>Daten!$U$9</c:f>
              <c:strCache>
                <c:ptCount val="1"/>
                <c:pt idx="0">
                  <c:v>Baumineralien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Daten!$U$10:$U$40</c:f>
              <c:numCache>
                <c:formatCode>#.##0000</c:formatCode>
                <c:ptCount val="31"/>
                <c:pt idx="0">
                  <c:v>5.4379797873903577</c:v>
                </c:pt>
                <c:pt idx="1">
                  <c:v>5.1616623216401258</c:v>
                </c:pt>
                <c:pt idx="2">
                  <c:v>4.9614408143361866</c:v>
                </c:pt>
                <c:pt idx="3">
                  <c:v>4.8944967842532527</c:v>
                </c:pt>
                <c:pt idx="4">
                  <c:v>4.7288087123426106</c:v>
                </c:pt>
                <c:pt idx="5">
                  <c:v>5.0646080326133225</c:v>
                </c:pt>
                <c:pt idx="6">
                  <c:v>4.822192403898538</c:v>
                </c:pt>
                <c:pt idx="7">
                  <c:v>4.4145217911758623</c:v>
                </c:pt>
                <c:pt idx="8">
                  <c:v>4.2274846155999954</c:v>
                </c:pt>
                <c:pt idx="9">
                  <c:v>4.194200745303168</c:v>
                </c:pt>
                <c:pt idx="10">
                  <c:v>4.0166631043811334</c:v>
                </c:pt>
                <c:pt idx="11">
                  <c:v>3.8607159603815937</c:v>
                </c:pt>
                <c:pt idx="12">
                  <c:v>4.1234228223106157</c:v>
                </c:pt>
                <c:pt idx="13">
                  <c:v>3.9744405837635486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14-49F8-9FD7-10BB13B1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882368"/>
        <c:axId val="465882760"/>
      </c:barChart>
      <c:catAx>
        <c:axId val="465882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5882760"/>
        <c:crosses val="autoZero"/>
        <c:auto val="1"/>
        <c:lblAlgn val="ctr"/>
        <c:lblOffset val="100"/>
        <c:noMultiLvlLbl val="0"/>
      </c:catAx>
      <c:valAx>
        <c:axId val="4658827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5882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9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3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77924439554779557"/>
          <c:y val="0"/>
          <c:w val="0.21228238088076867"/>
          <c:h val="0.99599749364072898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39" footer="0.314960629921262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45138</xdr:colOff>
      <xdr:row>2</xdr:row>
      <xdr:rowOff>87923</xdr:rowOff>
    </xdr:from>
    <xdr:to>
      <xdr:col>14</xdr:col>
      <xdr:colOff>2124808</xdr:colOff>
      <xdr:row>20</xdr:row>
      <xdr:rowOff>615462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238125</xdr:colOff>
      <xdr:row>20</xdr:row>
      <xdr:rowOff>560668</xdr:rowOff>
    </xdr:from>
    <xdr:to>
      <xdr:col>14</xdr:col>
      <xdr:colOff>2132135</xdr:colOff>
      <xdr:row>20</xdr:row>
      <xdr:rowOff>782971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33750" y="5593043"/>
          <a:ext cx="5132510" cy="222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BB17F79-CAFE-4866-9F75-B37927EE311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Berechnungen des Umweltbundesamtes 2026, Datenquellen: BGR Bericht zur Rohstoffsituation in Deutschland 2024, erschienen am 22.12.2025/ abgerufen am 16.01.2026 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135389</xdr:colOff>
      <xdr:row>0</xdr:row>
      <xdr:rowOff>219457</xdr:rowOff>
    </xdr:from>
    <xdr:to>
      <xdr:col>13</xdr:col>
      <xdr:colOff>102258</xdr:colOff>
      <xdr:row>1</xdr:row>
      <xdr:rowOff>247714</xdr:rowOff>
    </xdr:to>
    <xdr:sp macro="" textlink="Daten!B1:U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5389" y="219457"/>
          <a:ext cx="6092177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E0FA4D-635F-4151-B810-57D6A5F8F9CF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Flächenverbrauch durch inländische Entnahme von Rohstoffen im Tagebau*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236879</xdr:colOff>
      <xdr:row>2</xdr:row>
      <xdr:rowOff>221637</xdr:rowOff>
    </xdr:from>
    <xdr:to>
      <xdr:col>6</xdr:col>
      <xdr:colOff>119648</xdr:colOff>
      <xdr:row>4</xdr:row>
      <xdr:rowOff>14916</xdr:rowOff>
    </xdr:to>
    <xdr:sp macro="" textlink="Daten!B5:U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9129" y="729637"/>
          <a:ext cx="1708394" cy="2298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DAE703-A324-49BE-8DB3-A9D93A38BBC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Hektar pro Tag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2091106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82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23896</xdr:colOff>
      <xdr:row>20</xdr:row>
      <xdr:rowOff>554456</xdr:rowOff>
    </xdr:from>
    <xdr:to>
      <xdr:col>14</xdr:col>
      <xdr:colOff>2106716</xdr:colOff>
      <xdr:row>20</xdr:row>
      <xdr:rowOff>554456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3704" y="5668648"/>
          <a:ext cx="8200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40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40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67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93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130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135388</xdr:colOff>
      <xdr:row>1</xdr:row>
      <xdr:rowOff>174889</xdr:rowOff>
    </xdr:from>
    <xdr:to>
      <xdr:col>4</xdr:col>
      <xdr:colOff>855973</xdr:colOff>
      <xdr:row>2</xdr:row>
      <xdr:rowOff>150040</xdr:rowOff>
    </xdr:to>
    <xdr:sp macro="" textlink="Daten!B2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35388" y="431331"/>
          <a:ext cx="1724373" cy="2315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CE14F0-72D0-43FA-BD30-5F4725502142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Deutschland 1994 bis 2024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23813</xdr:colOff>
      <xdr:row>20</xdr:row>
      <xdr:rowOff>547687</xdr:rowOff>
    </xdr:from>
    <xdr:to>
      <xdr:col>6</xdr:col>
      <xdr:colOff>706438</xdr:colOff>
      <xdr:row>20</xdr:row>
      <xdr:rowOff>769990</xdr:rowOff>
    </xdr:to>
    <xdr:sp macro="" textlink="Daten!B4">
      <xdr:nvSpPr>
        <xdr:cNvPr id="20" name="Textfeld 19">
          <a:extLst>
            <a:ext uri="{FF2B5EF4-FFF2-40B4-BE49-F238E27FC236}">
              <a16:creationId xmlns:a16="http://schemas.microsoft.com/office/drawing/2014/main" id="{BA4500C0-E4F6-4E2B-BCEF-F141B7EEF497}"/>
            </a:ext>
          </a:extLst>
        </xdr:cNvPr>
        <xdr:cNvSpPr txBox="1"/>
      </xdr:nvSpPr>
      <xdr:spPr>
        <a:xfrm>
          <a:off x="246063" y="5580062"/>
          <a:ext cx="2508250" cy="222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ctr"/>
        <a:lstStyle/>
        <a:p>
          <a:pPr algn="l"/>
          <a:fld id="{7A31DC5E-AEAB-4100-AFB5-B17D3A6A8EA3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Erdöl, Erd- und Grubengas sind in dieser Abbildung aufgrund der geringen inländischen Flächenrelevanz nicht aufgeführt.</a:t>
          </a:fld>
          <a:endParaRPr lang="de-DE" sz="10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J43"/>
  <sheetViews>
    <sheetView showGridLines="0" topLeftCell="A18" zoomScale="90" zoomScaleNormal="90" workbookViewId="0">
      <selection activeCell="Y17" sqref="Y17"/>
    </sheetView>
  </sheetViews>
  <sheetFormatPr baseColWidth="10" defaultColWidth="11.42578125" defaultRowHeight="12.75"/>
  <cols>
    <col min="1" max="1" width="18" style="9" bestFit="1" customWidth="1"/>
    <col min="2" max="3" width="12.140625" style="9" customWidth="1"/>
    <col min="4" max="21" width="12.42578125" style="9" customWidth="1"/>
    <col min="22" max="23" width="11.85546875" style="8" customWidth="1"/>
    <col min="24" max="25" width="11.42578125" style="8"/>
    <col min="26" max="16384" width="11.42578125" style="9"/>
  </cols>
  <sheetData>
    <row r="1" spans="1:36" ht="15.95" customHeight="1">
      <c r="A1" s="15" t="s">
        <v>1</v>
      </c>
      <c r="B1" s="60" t="s">
        <v>31</v>
      </c>
      <c r="C1" s="60"/>
      <c r="D1" s="60"/>
      <c r="E1" s="60"/>
      <c r="F1" s="60"/>
      <c r="G1" s="60"/>
      <c r="H1" s="60"/>
      <c r="I1" s="60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</row>
    <row r="2" spans="1:36" ht="15.95" customHeight="1">
      <c r="A2" s="15" t="s">
        <v>2</v>
      </c>
      <c r="B2" s="60" t="s">
        <v>34</v>
      </c>
      <c r="C2" s="60"/>
      <c r="D2" s="60"/>
      <c r="E2" s="60"/>
      <c r="F2" s="60"/>
      <c r="G2" s="60"/>
      <c r="H2" s="60"/>
      <c r="I2" s="6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36" ht="12.75" customHeight="1">
      <c r="A3" s="15" t="s">
        <v>0</v>
      </c>
      <c r="B3" s="63" t="s">
        <v>35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0"/>
      <c r="AJ3" s="9" t="str">
        <f>"Quelle: "&amp;Daten!B3</f>
        <v xml:space="preserve">Quelle: Berechnungen des Umweltbundesamtes 2026, Datenquellen: BGR Bericht zur Rohstoffsituation in Deutschland 2024, erschienen am 22.12.2025/ abgerufen am 16.01.2026 </v>
      </c>
    </row>
    <row r="4" spans="1:36">
      <c r="A4" s="15" t="s">
        <v>3</v>
      </c>
      <c r="B4" s="61" t="s">
        <v>32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36">
      <c r="A5" s="15" t="s">
        <v>8</v>
      </c>
      <c r="B5" s="60" t="s">
        <v>22</v>
      </c>
      <c r="C5" s="60"/>
      <c r="D5" s="60"/>
      <c r="E5" s="60"/>
      <c r="F5" s="60"/>
      <c r="G5" s="60"/>
      <c r="H5" s="60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</row>
    <row r="6" spans="1:36">
      <c r="A6" s="16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</row>
    <row r="8" spans="1:3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8"/>
    </row>
    <row r="9" spans="1:36" ht="68.25" customHeight="1" thickBot="1">
      <c r="A9" s="8"/>
      <c r="B9" s="45" t="s">
        <v>10</v>
      </c>
      <c r="C9" s="46" t="s">
        <v>11</v>
      </c>
      <c r="D9" s="46" t="s">
        <v>24</v>
      </c>
      <c r="E9" s="46" t="s">
        <v>25</v>
      </c>
      <c r="F9" s="46" t="s">
        <v>26</v>
      </c>
      <c r="G9" s="46" t="s">
        <v>27</v>
      </c>
      <c r="H9" s="46" t="s">
        <v>12</v>
      </c>
      <c r="I9" s="46" t="s">
        <v>13</v>
      </c>
      <c r="J9" s="46" t="s">
        <v>33</v>
      </c>
      <c r="K9" s="46" t="s">
        <v>23</v>
      </c>
      <c r="L9" s="46" t="s">
        <v>14</v>
      </c>
      <c r="M9" s="46" t="s">
        <v>15</v>
      </c>
      <c r="N9" s="46" t="s">
        <v>16</v>
      </c>
      <c r="O9" s="46" t="s">
        <v>30</v>
      </c>
      <c r="P9" s="46" t="s">
        <v>17</v>
      </c>
      <c r="Q9" s="46" t="s">
        <v>18</v>
      </c>
      <c r="R9" s="46" t="s">
        <v>19</v>
      </c>
      <c r="S9" s="46" t="s">
        <v>29</v>
      </c>
      <c r="T9" s="46" t="s">
        <v>20</v>
      </c>
      <c r="U9" s="46" t="s">
        <v>21</v>
      </c>
      <c r="V9" s="46" t="s">
        <v>28</v>
      </c>
      <c r="W9" s="46" t="s">
        <v>10</v>
      </c>
      <c r="AH9" s="11"/>
      <c r="AI9" s="11"/>
      <c r="AJ9" s="11"/>
    </row>
    <row r="10" spans="1:36" ht="18" customHeight="1">
      <c r="A10" s="8"/>
      <c r="B10" s="12">
        <v>1994</v>
      </c>
      <c r="C10" s="47">
        <v>1.1044937571603994</v>
      </c>
      <c r="D10" s="47"/>
      <c r="E10" s="47"/>
      <c r="F10" s="47"/>
      <c r="G10" s="47"/>
      <c r="H10" s="47">
        <v>2.4731197448138822</v>
      </c>
      <c r="I10" s="47"/>
      <c r="J10" s="47"/>
      <c r="K10" s="47"/>
      <c r="L10" s="47"/>
      <c r="M10" s="47">
        <v>0.30968025606826594</v>
      </c>
      <c r="N10" s="47"/>
      <c r="O10" s="47"/>
      <c r="P10" s="47"/>
      <c r="Q10" s="47"/>
      <c r="R10" s="47"/>
      <c r="S10" s="47"/>
      <c r="T10" s="47"/>
      <c r="U10" s="48">
        <v>5.4379797873903577</v>
      </c>
      <c r="V10" s="51">
        <f t="shared" ref="V10:V30" si="0">SUM(C10:U10)</f>
        <v>9.3252735454329052</v>
      </c>
      <c r="W10" s="52">
        <f>V10*365</f>
        <v>3403.7248440830103</v>
      </c>
    </row>
    <row r="11" spans="1:36" ht="18" customHeight="1">
      <c r="A11" s="13"/>
      <c r="B11" s="14">
        <v>1995</v>
      </c>
      <c r="C11" s="49">
        <v>1.1312712038267778</v>
      </c>
      <c r="D11" s="49"/>
      <c r="E11" s="49"/>
      <c r="F11" s="49"/>
      <c r="G11" s="49"/>
      <c r="H11" s="49">
        <v>2.3019438900456479</v>
      </c>
      <c r="I11" s="49"/>
      <c r="J11" s="49"/>
      <c r="K11" s="49"/>
      <c r="L11" s="49"/>
      <c r="M11" s="49">
        <v>0.32696323899854685</v>
      </c>
      <c r="N11" s="49"/>
      <c r="O11" s="49"/>
      <c r="P11" s="49"/>
      <c r="Q11" s="49"/>
      <c r="R11" s="49"/>
      <c r="S11" s="49"/>
      <c r="T11" s="49"/>
      <c r="U11" s="50">
        <v>5.1616623216401258</v>
      </c>
      <c r="V11" s="53">
        <f t="shared" si="0"/>
        <v>8.9218406545110991</v>
      </c>
      <c r="W11" s="54">
        <f t="shared" ref="W11:W30" si="1">V11*365</f>
        <v>3256.4718388965512</v>
      </c>
    </row>
    <row r="12" spans="1:36" ht="18" customHeight="1">
      <c r="A12" s="13"/>
      <c r="B12" s="12">
        <v>1996</v>
      </c>
      <c r="C12" s="47">
        <v>1.1077181518572901</v>
      </c>
      <c r="D12" s="47"/>
      <c r="E12" s="47"/>
      <c r="F12" s="47"/>
      <c r="G12" s="47"/>
      <c r="H12" s="47">
        <v>2.236105139593922</v>
      </c>
      <c r="I12" s="47"/>
      <c r="J12" s="47"/>
      <c r="K12" s="47"/>
      <c r="L12" s="47"/>
      <c r="M12" s="47">
        <v>0.31578403089691398</v>
      </c>
      <c r="N12" s="47"/>
      <c r="O12" s="47"/>
      <c r="P12" s="47"/>
      <c r="Q12" s="47"/>
      <c r="R12" s="47"/>
      <c r="S12" s="47"/>
      <c r="T12" s="47"/>
      <c r="U12" s="48">
        <v>4.9614408143361866</v>
      </c>
      <c r="V12" s="55">
        <f t="shared" si="0"/>
        <v>8.6210481366843119</v>
      </c>
      <c r="W12" s="56">
        <f t="shared" si="1"/>
        <v>3146.6825698897737</v>
      </c>
    </row>
    <row r="13" spans="1:36" ht="18" customHeight="1">
      <c r="A13" s="13"/>
      <c r="B13" s="14">
        <v>1997</v>
      </c>
      <c r="C13" s="49">
        <v>1.0903251288644378</v>
      </c>
      <c r="D13" s="49"/>
      <c r="E13" s="49"/>
      <c r="F13" s="49"/>
      <c r="G13" s="49"/>
      <c r="H13" s="49">
        <v>2.115725200440393</v>
      </c>
      <c r="I13" s="49"/>
      <c r="J13" s="49"/>
      <c r="K13" s="49"/>
      <c r="L13" s="49"/>
      <c r="M13" s="49">
        <v>0.31068839185523944</v>
      </c>
      <c r="N13" s="49"/>
      <c r="O13" s="49"/>
      <c r="P13" s="49"/>
      <c r="Q13" s="49"/>
      <c r="R13" s="49"/>
      <c r="S13" s="49"/>
      <c r="T13" s="49"/>
      <c r="U13" s="50">
        <v>4.8944967842532527</v>
      </c>
      <c r="V13" s="53">
        <f t="shared" si="0"/>
        <v>8.4112355054133232</v>
      </c>
      <c r="W13" s="54">
        <f t="shared" si="1"/>
        <v>3070.100959475863</v>
      </c>
    </row>
    <row r="14" spans="1:36" ht="18" customHeight="1">
      <c r="A14" s="13"/>
      <c r="B14" s="12">
        <v>1998</v>
      </c>
      <c r="C14" s="47">
        <v>1.1975821039870278</v>
      </c>
      <c r="D14" s="47"/>
      <c r="E14" s="47"/>
      <c r="F14" s="47"/>
      <c r="G14" s="47"/>
      <c r="H14" s="47">
        <v>1.9828653965631102</v>
      </c>
      <c r="I14" s="47"/>
      <c r="J14" s="47"/>
      <c r="K14" s="47"/>
      <c r="L14" s="47"/>
      <c r="M14" s="47">
        <v>0.30920129719613859</v>
      </c>
      <c r="N14" s="47"/>
      <c r="O14" s="47"/>
      <c r="P14" s="47"/>
      <c r="Q14" s="47"/>
      <c r="R14" s="47"/>
      <c r="S14" s="47"/>
      <c r="T14" s="47"/>
      <c r="U14" s="48">
        <v>4.7288087123426106</v>
      </c>
      <c r="V14" s="55">
        <f t="shared" si="0"/>
        <v>8.2184575100888875</v>
      </c>
      <c r="W14" s="56">
        <f t="shared" si="1"/>
        <v>2999.7369911824439</v>
      </c>
    </row>
    <row r="15" spans="1:36" ht="18" customHeight="1">
      <c r="A15" s="13"/>
      <c r="B15" s="14">
        <v>1999</v>
      </c>
      <c r="C15" s="49">
        <v>1.2483117543828472</v>
      </c>
      <c r="D15" s="49"/>
      <c r="E15" s="49"/>
      <c r="F15" s="49"/>
      <c r="G15" s="49"/>
      <c r="H15" s="49">
        <v>1.9261267962735853</v>
      </c>
      <c r="I15" s="49"/>
      <c r="J15" s="49"/>
      <c r="K15" s="49"/>
      <c r="L15" s="49"/>
      <c r="M15" s="49">
        <v>0.31590882205711829</v>
      </c>
      <c r="N15" s="49"/>
      <c r="O15" s="49"/>
      <c r="P15" s="49"/>
      <c r="Q15" s="49"/>
      <c r="R15" s="49"/>
      <c r="S15" s="49"/>
      <c r="T15" s="49"/>
      <c r="U15" s="50">
        <v>5.0646080326133225</v>
      </c>
      <c r="V15" s="53">
        <f t="shared" si="0"/>
        <v>8.5549554053268739</v>
      </c>
      <c r="W15" s="54">
        <f t="shared" si="1"/>
        <v>3122.558722944309</v>
      </c>
    </row>
    <row r="16" spans="1:36" s="8" customFormat="1" ht="18" customHeight="1">
      <c r="A16" s="13"/>
      <c r="B16" s="12">
        <v>2000</v>
      </c>
      <c r="C16" s="47">
        <v>1.2635306495015932</v>
      </c>
      <c r="D16" s="47"/>
      <c r="E16" s="47"/>
      <c r="F16" s="47"/>
      <c r="G16" s="47"/>
      <c r="H16" s="47">
        <v>2.0026779282154621</v>
      </c>
      <c r="I16" s="47"/>
      <c r="J16" s="47"/>
      <c r="K16" s="47"/>
      <c r="L16" s="47"/>
      <c r="M16" s="47">
        <v>0.3076518069569355</v>
      </c>
      <c r="N16" s="47"/>
      <c r="O16" s="47"/>
      <c r="P16" s="47"/>
      <c r="Q16" s="47"/>
      <c r="R16" s="47"/>
      <c r="S16" s="47"/>
      <c r="T16" s="47"/>
      <c r="U16" s="48">
        <v>4.822192403898538</v>
      </c>
      <c r="V16" s="55">
        <f t="shared" si="0"/>
        <v>8.3960527885725291</v>
      </c>
      <c r="W16" s="56">
        <f t="shared" si="1"/>
        <v>3064.5592678289731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s="8" customFormat="1" ht="18" customHeight="1">
      <c r="A17" s="13"/>
      <c r="B17" s="14">
        <v>2001</v>
      </c>
      <c r="C17" s="49">
        <v>1.2370787603666302</v>
      </c>
      <c r="D17" s="49"/>
      <c r="E17" s="49"/>
      <c r="F17" s="49"/>
      <c r="G17" s="49"/>
      <c r="H17" s="49">
        <v>2.0942765525515301</v>
      </c>
      <c r="I17" s="49"/>
      <c r="J17" s="49"/>
      <c r="K17" s="49"/>
      <c r="L17" s="49"/>
      <c r="M17" s="49">
        <v>0.28955708872731584</v>
      </c>
      <c r="N17" s="49"/>
      <c r="O17" s="49"/>
      <c r="P17" s="49"/>
      <c r="Q17" s="49"/>
      <c r="R17" s="49"/>
      <c r="S17" s="49"/>
      <c r="T17" s="49"/>
      <c r="U17" s="50">
        <v>4.4145217911758623</v>
      </c>
      <c r="V17" s="53">
        <f t="shared" si="0"/>
        <v>8.035434192821338</v>
      </c>
      <c r="W17" s="54">
        <f t="shared" si="1"/>
        <v>2932.9334803797883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s="8" customFormat="1" ht="18" customHeight="1">
      <c r="A18" s="13"/>
      <c r="B18" s="12">
        <v>2002</v>
      </c>
      <c r="C18" s="47">
        <v>1.1530124825678434</v>
      </c>
      <c r="D18" s="47"/>
      <c r="E18" s="47"/>
      <c r="F18" s="47"/>
      <c r="G18" s="47"/>
      <c r="H18" s="47">
        <v>2.1708754543105315</v>
      </c>
      <c r="I18" s="47"/>
      <c r="J18" s="47"/>
      <c r="K18" s="47"/>
      <c r="L18" s="47"/>
      <c r="M18" s="47">
        <v>0.27562207583783865</v>
      </c>
      <c r="N18" s="47"/>
      <c r="O18" s="47"/>
      <c r="P18" s="47"/>
      <c r="Q18" s="47"/>
      <c r="R18" s="47"/>
      <c r="S18" s="47"/>
      <c r="T18" s="47"/>
      <c r="U18" s="48">
        <v>4.2274846155999954</v>
      </c>
      <c r="V18" s="55">
        <f t="shared" si="0"/>
        <v>7.8269946283162088</v>
      </c>
      <c r="W18" s="56">
        <f t="shared" si="1"/>
        <v>2856.8530393354163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s="8" customFormat="1" ht="18" customHeight="1">
      <c r="A19" s="13"/>
      <c r="B19" s="14">
        <v>2003</v>
      </c>
      <c r="C19" s="49">
        <v>1.187436173907864</v>
      </c>
      <c r="D19" s="49"/>
      <c r="E19" s="49"/>
      <c r="F19" s="49"/>
      <c r="G19" s="49"/>
      <c r="H19" s="49">
        <v>2.1405057930736837</v>
      </c>
      <c r="I19" s="49"/>
      <c r="J19" s="49"/>
      <c r="K19" s="49"/>
      <c r="L19" s="49"/>
      <c r="M19" s="49">
        <v>0.27267908430968785</v>
      </c>
      <c r="N19" s="49"/>
      <c r="O19" s="49"/>
      <c r="P19" s="49"/>
      <c r="Q19" s="49"/>
      <c r="R19" s="49"/>
      <c r="S19" s="49"/>
      <c r="T19" s="49"/>
      <c r="U19" s="50">
        <v>4.194200745303168</v>
      </c>
      <c r="V19" s="53">
        <f t="shared" si="0"/>
        <v>7.7948217965944036</v>
      </c>
      <c r="W19" s="54">
        <f t="shared" si="1"/>
        <v>2845.1099557569573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s="8" customFormat="1" ht="18" customHeight="1">
      <c r="A20" s="13"/>
      <c r="B20" s="12">
        <v>2004</v>
      </c>
      <c r="C20" s="47">
        <v>1.2033797783179785</v>
      </c>
      <c r="D20" s="47"/>
      <c r="E20" s="47"/>
      <c r="F20" s="47"/>
      <c r="G20" s="47"/>
      <c r="H20" s="47">
        <v>2.172642937544135</v>
      </c>
      <c r="I20" s="47"/>
      <c r="J20" s="47"/>
      <c r="K20" s="47"/>
      <c r="L20" s="47"/>
      <c r="M20" s="47">
        <v>0.26965289867473419</v>
      </c>
      <c r="N20" s="47"/>
      <c r="O20" s="47"/>
      <c r="P20" s="47"/>
      <c r="Q20" s="47"/>
      <c r="R20" s="47"/>
      <c r="S20" s="47"/>
      <c r="T20" s="47"/>
      <c r="U20" s="48">
        <v>4.0166631043811334</v>
      </c>
      <c r="V20" s="55">
        <f t="shared" si="0"/>
        <v>7.6623387189179812</v>
      </c>
      <c r="W20" s="56">
        <f t="shared" si="1"/>
        <v>2796.7536324050629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s="8" customFormat="1" ht="18" customHeight="1">
      <c r="A21" s="13"/>
      <c r="B21" s="14">
        <v>2005</v>
      </c>
      <c r="C21" s="49">
        <v>1.2164245455626179</v>
      </c>
      <c r="D21" s="49"/>
      <c r="E21" s="49"/>
      <c r="F21" s="49"/>
      <c r="G21" s="49"/>
      <c r="H21" s="49">
        <v>2.1246462137883775</v>
      </c>
      <c r="I21" s="49"/>
      <c r="J21" s="49"/>
      <c r="K21" s="49"/>
      <c r="L21" s="49"/>
      <c r="M21" s="49">
        <v>0.25769374582182469</v>
      </c>
      <c r="N21" s="49"/>
      <c r="O21" s="49"/>
      <c r="P21" s="49"/>
      <c r="Q21" s="49"/>
      <c r="R21" s="49"/>
      <c r="S21" s="49"/>
      <c r="T21" s="49"/>
      <c r="U21" s="50">
        <v>3.8607159603815937</v>
      </c>
      <c r="V21" s="53">
        <f t="shared" si="0"/>
        <v>7.4594804655544138</v>
      </c>
      <c r="W21" s="54">
        <f t="shared" si="1"/>
        <v>2722.7103699273612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s="8" customFormat="1" ht="18" customHeight="1">
      <c r="A22" s="13"/>
      <c r="B22" s="12">
        <v>2006</v>
      </c>
      <c r="C22" s="47">
        <v>1.1939585575301834</v>
      </c>
      <c r="D22" s="47"/>
      <c r="E22" s="47"/>
      <c r="F22" s="47"/>
      <c r="G22" s="47"/>
      <c r="H22" s="47">
        <v>2.1057413086613899</v>
      </c>
      <c r="I22" s="47"/>
      <c r="J22" s="47"/>
      <c r="K22" s="47"/>
      <c r="L22" s="47"/>
      <c r="M22" s="47">
        <v>0.2654203984911393</v>
      </c>
      <c r="N22" s="47"/>
      <c r="O22" s="47"/>
      <c r="P22" s="47"/>
      <c r="Q22" s="47"/>
      <c r="R22" s="47"/>
      <c r="S22" s="47"/>
      <c r="T22" s="47"/>
      <c r="U22" s="48">
        <v>4.1234228223106157</v>
      </c>
      <c r="V22" s="55">
        <f t="shared" si="0"/>
        <v>7.6885430869933282</v>
      </c>
      <c r="W22" s="56">
        <f t="shared" si="1"/>
        <v>2806.3182267525649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s="8" customFormat="1" ht="18" customHeight="1">
      <c r="A23" s="9"/>
      <c r="B23" s="14">
        <v>2007</v>
      </c>
      <c r="C23" s="49">
        <v>1.2388905335950524</v>
      </c>
      <c r="D23" s="49"/>
      <c r="E23" s="49"/>
      <c r="F23" s="49"/>
      <c r="G23" s="49"/>
      <c r="H23" s="49">
        <v>2.1545859466711055</v>
      </c>
      <c r="I23" s="49"/>
      <c r="J23" s="49"/>
      <c r="K23" s="49"/>
      <c r="L23" s="49"/>
      <c r="M23" s="49">
        <v>0.27413498117873769</v>
      </c>
      <c r="N23" s="49"/>
      <c r="O23" s="49"/>
      <c r="P23" s="49"/>
      <c r="Q23" s="49"/>
      <c r="R23" s="49"/>
      <c r="S23" s="49"/>
      <c r="T23" s="49"/>
      <c r="U23" s="50">
        <v>3.9744405837635486</v>
      </c>
      <c r="V23" s="53">
        <f t="shared" si="0"/>
        <v>7.6420520452084446</v>
      </c>
      <c r="W23" s="54">
        <f t="shared" si="1"/>
        <v>2789.3489965010822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s="8" customFormat="1" ht="18" customHeight="1">
      <c r="A24" s="9"/>
      <c r="B24" s="12">
        <v>2008</v>
      </c>
      <c r="C24" s="47">
        <v>1.0951403148528405</v>
      </c>
      <c r="D24" s="47">
        <v>2.2460906649818355E-2</v>
      </c>
      <c r="E24" s="47">
        <v>0.3734964556319792</v>
      </c>
      <c r="F24" s="47">
        <v>1.1084849442138971</v>
      </c>
      <c r="G24" s="47">
        <v>0.57632059931854585</v>
      </c>
      <c r="H24" s="47"/>
      <c r="I24" s="47">
        <v>8.4873374401095141E-3</v>
      </c>
      <c r="J24" s="47">
        <v>0.14062597224814882</v>
      </c>
      <c r="K24" s="47"/>
      <c r="L24" s="47">
        <v>0.11255608791543081</v>
      </c>
      <c r="M24" s="47"/>
      <c r="N24" s="47">
        <v>2.8747433264887063E-2</v>
      </c>
      <c r="O24" s="47"/>
      <c r="P24" s="47">
        <v>0.91823303322276617</v>
      </c>
      <c r="Q24" s="47">
        <v>2.6364489061272085</v>
      </c>
      <c r="R24" s="47">
        <v>0.30621808034539039</v>
      </c>
      <c r="S24" s="47"/>
      <c r="T24" s="47">
        <v>4.5279839941030908E-3</v>
      </c>
      <c r="U24" s="48"/>
      <c r="V24" s="55">
        <f t="shared" si="0"/>
        <v>7.3317480552251251</v>
      </c>
      <c r="W24" s="56">
        <f t="shared" si="1"/>
        <v>2676.0880401571708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s="8" customFormat="1" ht="18" customHeight="1">
      <c r="A25" s="9"/>
      <c r="B25" s="14">
        <v>2009</v>
      </c>
      <c r="C25" s="49">
        <v>1.0951403148528405</v>
      </c>
      <c r="D25" s="49">
        <v>2.022850523877218E-2</v>
      </c>
      <c r="E25" s="49">
        <v>0.38657304365723255</v>
      </c>
      <c r="F25" s="49">
        <v>1.0670342662129111</v>
      </c>
      <c r="G25" s="49">
        <v>0.5536656362118374</v>
      </c>
      <c r="H25" s="49"/>
      <c r="I25" s="49">
        <v>8.4873374401095141E-3</v>
      </c>
      <c r="J25" s="49">
        <v>0.14311492750917801</v>
      </c>
      <c r="K25" s="49"/>
      <c r="L25" s="49">
        <v>9.0247674094354441E-2</v>
      </c>
      <c r="M25" s="49"/>
      <c r="N25" s="49">
        <v>2.6009582477754964E-2</v>
      </c>
      <c r="O25" s="49"/>
      <c r="P25" s="49">
        <v>0.91402095508871695</v>
      </c>
      <c r="Q25" s="49">
        <v>2.4843460846198693</v>
      </c>
      <c r="R25" s="49">
        <v>0.26241246775127675</v>
      </c>
      <c r="S25" s="49"/>
      <c r="T25" s="49">
        <v>8.0029484546938357E-3</v>
      </c>
      <c r="U25" s="50"/>
      <c r="V25" s="53">
        <f t="shared" si="0"/>
        <v>7.0592837436095479</v>
      </c>
      <c r="W25" s="54">
        <f t="shared" si="1"/>
        <v>2576.638566417485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s="8" customFormat="1" ht="18" customHeight="1">
      <c r="A26" s="9"/>
      <c r="B26" s="12">
        <v>2010</v>
      </c>
      <c r="C26" s="47">
        <v>1.0951403148528405</v>
      </c>
      <c r="D26" s="47">
        <v>2.0891907544884958E-2</v>
      </c>
      <c r="E26" s="47">
        <v>0.38299277724329051</v>
      </c>
      <c r="F26" s="47">
        <v>1.0850504731408224</v>
      </c>
      <c r="G26" s="47">
        <v>0.54601770577129916</v>
      </c>
      <c r="H26" s="47"/>
      <c r="I26" s="47">
        <v>8.2135523613963042E-3</v>
      </c>
      <c r="J26" s="47">
        <v>0.14656341235766285</v>
      </c>
      <c r="K26" s="47"/>
      <c r="L26" s="47">
        <v>0.1003878621948437</v>
      </c>
      <c r="M26" s="47"/>
      <c r="N26" s="47">
        <v>2.4640657084188913E-2</v>
      </c>
      <c r="O26" s="47"/>
      <c r="P26" s="47">
        <v>0.87611225188227237</v>
      </c>
      <c r="Q26" s="47">
        <v>2.4235049560169344</v>
      </c>
      <c r="R26" s="47">
        <v>0.26662454588532619</v>
      </c>
      <c r="S26" s="47"/>
      <c r="T26" s="47">
        <v>8.9506660348549465E-3</v>
      </c>
      <c r="U26" s="48"/>
      <c r="V26" s="55">
        <f t="shared" si="0"/>
        <v>6.9850910823706176</v>
      </c>
      <c r="W26" s="56">
        <f t="shared" si="1"/>
        <v>2549.5582450652755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s="8" customFormat="1" ht="18" customHeight="1">
      <c r="A27" s="9"/>
      <c r="B27" s="14">
        <v>2011</v>
      </c>
      <c r="C27" s="49">
        <v>1.0814510609171801</v>
      </c>
      <c r="D27" s="49">
        <v>1.7143158005581006E-2</v>
      </c>
      <c r="E27" s="49">
        <v>0.37271147743427002</v>
      </c>
      <c r="F27" s="49">
        <v>1.1442110251145159</v>
      </c>
      <c r="G27" s="49">
        <v>0.57551428721859932</v>
      </c>
      <c r="H27" s="49"/>
      <c r="I27" s="49">
        <v>8.2135523613963042E-3</v>
      </c>
      <c r="J27" s="49">
        <v>0.15182627092278017</v>
      </c>
      <c r="K27" s="49"/>
      <c r="L27" s="49">
        <v>0.10647197505513727</v>
      </c>
      <c r="M27" s="49"/>
      <c r="N27" s="49">
        <v>2.7652292950034223E-2</v>
      </c>
      <c r="O27" s="49"/>
      <c r="P27" s="49">
        <v>0.96456589269730952</v>
      </c>
      <c r="Q27" s="49">
        <v>2.5654675894237839</v>
      </c>
      <c r="R27" s="49">
        <v>0.27968198810087924</v>
      </c>
      <c r="S27" s="49"/>
      <c r="T27" s="49">
        <v>9.8141420523350717E-3</v>
      </c>
      <c r="U27" s="50"/>
      <c r="V27" s="53">
        <f t="shared" si="0"/>
        <v>7.304724712253801</v>
      </c>
      <c r="W27" s="54">
        <f t="shared" si="1"/>
        <v>2666.2245199726376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" customHeight="1">
      <c r="B28" s="12">
        <v>2012</v>
      </c>
      <c r="C28" s="47">
        <v>1.0814510609171801</v>
      </c>
      <c r="D28" s="47">
        <v>2.1344705944295269E-2</v>
      </c>
      <c r="E28" s="47">
        <v>0.36807819148681564</v>
      </c>
      <c r="F28" s="47">
        <v>1.1954835034917171</v>
      </c>
      <c r="G28" s="47">
        <v>0.61218945325721497</v>
      </c>
      <c r="H28" s="47"/>
      <c r="I28" s="47">
        <v>8.2135523613963042E-3</v>
      </c>
      <c r="J28" s="47">
        <v>0.13563561694978529</v>
      </c>
      <c r="K28" s="47"/>
      <c r="L28" s="47">
        <v>0.10241589981494156</v>
      </c>
      <c r="M28" s="47"/>
      <c r="N28" s="47">
        <v>2.668035592060233E-2</v>
      </c>
      <c r="O28" s="47"/>
      <c r="P28" s="47">
        <v>0.8887484862844206</v>
      </c>
      <c r="Q28" s="47">
        <v>2.3859862600451236</v>
      </c>
      <c r="R28" s="47">
        <v>0.27378507871321012</v>
      </c>
      <c r="S28" s="47"/>
      <c r="T28" s="47">
        <v>1.0045806349707788E-2</v>
      </c>
      <c r="U28" s="48"/>
      <c r="V28" s="55">
        <f t="shared" si="0"/>
        <v>7.1100579715364107</v>
      </c>
      <c r="W28" s="56">
        <f t="shared" si="1"/>
        <v>2595.1711596107898</v>
      </c>
    </row>
    <row r="29" spans="1:36" ht="18" customHeight="1">
      <c r="B29" s="14">
        <v>2013</v>
      </c>
      <c r="C29" s="49">
        <f>(3396500*0.0001)/365.25</f>
        <v>0.92991101984941826</v>
      </c>
      <c r="D29" s="49">
        <v>1.2594113620807664E-2</v>
      </c>
      <c r="E29" s="49">
        <v>0.37495153716919627</v>
      </c>
      <c r="F29" s="49">
        <v>1.2176734969342773</v>
      </c>
      <c r="G29" s="49">
        <v>0.59159840843619083</v>
      </c>
      <c r="H29" s="49"/>
      <c r="I29" s="49">
        <v>3.8658453114305276E-2</v>
      </c>
      <c r="J29" s="49">
        <v>0.13191462883454669</v>
      </c>
      <c r="K29" s="49"/>
      <c r="L29" s="49">
        <v>9.835982457474586E-2</v>
      </c>
      <c r="M29" s="49"/>
      <c r="N29" s="49">
        <v>2.4339493497604382E-2</v>
      </c>
      <c r="O29" s="49"/>
      <c r="P29" s="49">
        <v>0.87190017374822304</v>
      </c>
      <c r="Q29" s="49">
        <v>2.3930843917154663</v>
      </c>
      <c r="R29" s="49">
        <v>0.27631232559363977</v>
      </c>
      <c r="S29" s="49"/>
      <c r="T29" s="49">
        <v>1.0635497288474701E-2</v>
      </c>
      <c r="U29" s="50"/>
      <c r="V29" s="53">
        <f t="shared" si="0"/>
        <v>6.9719333643768966</v>
      </c>
      <c r="W29" s="54">
        <f t="shared" si="1"/>
        <v>2544.7556779975671</v>
      </c>
    </row>
    <row r="30" spans="1:36" ht="18" customHeight="1">
      <c r="B30" s="12">
        <v>2014</v>
      </c>
      <c r="C30" s="47">
        <f>(3839333*0.0001)/365.25</f>
        <v>1.0511520876112252</v>
      </c>
      <c r="D30" s="47">
        <v>1.908071394724372E-2</v>
      </c>
      <c r="E30" s="47">
        <v>0.40074094283539868</v>
      </c>
      <c r="F30" s="47">
        <v>1.1834790808096765</v>
      </c>
      <c r="G30" s="47">
        <v>0.56334138141119661</v>
      </c>
      <c r="H30" s="47"/>
      <c r="I30" s="47">
        <v>3.2854209445585217E-2</v>
      </c>
      <c r="J30" s="47">
        <v>0.13725343786945429</v>
      </c>
      <c r="K30" s="47"/>
      <c r="L30" s="47">
        <v>0.10545795624508834</v>
      </c>
      <c r="M30" s="47"/>
      <c r="N30" s="47">
        <v>5.5989048596851471E-2</v>
      </c>
      <c r="O30" s="47"/>
      <c r="P30" s="47">
        <v>0.8887484862844206</v>
      </c>
      <c r="Q30" s="47">
        <v>2.4133647679164447</v>
      </c>
      <c r="R30" s="47">
        <v>0.26957300057916073</v>
      </c>
      <c r="S30" s="47"/>
      <c r="T30" s="47">
        <v>1.0424893381772233E-2</v>
      </c>
      <c r="U30" s="48"/>
      <c r="V30" s="55">
        <f t="shared" si="0"/>
        <v>7.1314600069335192</v>
      </c>
      <c r="W30" s="56">
        <f t="shared" si="1"/>
        <v>2602.9829025307345</v>
      </c>
    </row>
    <row r="31" spans="1:36" ht="18" customHeight="1">
      <c r="B31" s="14">
        <v>2015</v>
      </c>
      <c r="C31" s="49">
        <f>(5600000*0.0001)/365.25</f>
        <v>1.5331964407939767</v>
      </c>
      <c r="D31" s="49">
        <v>1.5521507923971991E-2</v>
      </c>
      <c r="E31" s="49">
        <v>0.3623153027670481</v>
      </c>
      <c r="F31" s="49">
        <v>1.1956941073984195</v>
      </c>
      <c r="G31" s="49">
        <v>0.57292686779339752</v>
      </c>
      <c r="H31" s="49"/>
      <c r="I31" s="49">
        <v>9.1383375161609257E-2</v>
      </c>
      <c r="J31" s="49">
        <v>0.14606433949349759</v>
      </c>
      <c r="K31" s="49">
        <v>1.2647349608335235E-2</v>
      </c>
      <c r="L31" s="49">
        <v>9.835982457474586E-2</v>
      </c>
      <c r="M31" s="49"/>
      <c r="N31" s="49">
        <v>5.7494866529774126E-2</v>
      </c>
      <c r="O31" s="49">
        <v>4.9691991786447641E-2</v>
      </c>
      <c r="P31" s="49">
        <v>0.88453640815037105</v>
      </c>
      <c r="Q31" s="49">
        <v>2.4235049560169344</v>
      </c>
      <c r="R31" s="49">
        <v>0.20607171063023222</v>
      </c>
      <c r="S31" s="49">
        <v>0.32002986746313228</v>
      </c>
      <c r="T31" s="49">
        <v>9.3508134575896375E-3</v>
      </c>
      <c r="U31" s="50"/>
      <c r="V31" s="53">
        <f t="shared" ref="V31:V36" si="2">SUM(C31:U31)</f>
        <v>7.9787897295494838</v>
      </c>
      <c r="W31" s="54">
        <f t="shared" ref="W31:W34" si="3">V31*365</f>
        <v>2912.2582512855615</v>
      </c>
    </row>
    <row r="32" spans="1:36" ht="18" customHeight="1">
      <c r="B32" s="12">
        <v>2016</v>
      </c>
      <c r="C32" s="47">
        <f>(6189333*0.0001)/365.25</f>
        <v>1.694547022587269</v>
      </c>
      <c r="D32" s="47">
        <v>1.1309429789922602E-2</v>
      </c>
      <c r="E32" s="47">
        <v>0.33945520598498008</v>
      </c>
      <c r="F32" s="47">
        <v>1.1926307778463836</v>
      </c>
      <c r="G32" s="47">
        <v>0.54426668471843009</v>
      </c>
      <c r="H32" s="47"/>
      <c r="I32" s="47">
        <v>9.1080669710806708E-2</v>
      </c>
      <c r="J32" s="47">
        <v>0.13123016613776367</v>
      </c>
      <c r="K32" s="47">
        <v>1.6133942161339421E-3</v>
      </c>
      <c r="L32" s="47">
        <v>0.10045662100456622</v>
      </c>
      <c r="M32" s="47"/>
      <c r="N32" s="47">
        <v>5.4383561643835621E-2</v>
      </c>
      <c r="O32" s="47">
        <v>5.6800391389432485E-2</v>
      </c>
      <c r="P32" s="47">
        <v>0.91886195995785047</v>
      </c>
      <c r="Q32" s="47">
        <v>2.506341958396753</v>
      </c>
      <c r="R32" s="47">
        <v>0.22420653319283457</v>
      </c>
      <c r="S32" s="47">
        <v>0.36931118163151011</v>
      </c>
      <c r="T32" s="47">
        <v>9.0621707060063224E-3</v>
      </c>
      <c r="U32" s="48"/>
      <c r="V32" s="55">
        <f t="shared" si="2"/>
        <v>8.2455577289144788</v>
      </c>
      <c r="W32" s="56">
        <f t="shared" si="3"/>
        <v>3009.628571053785</v>
      </c>
    </row>
    <row r="33" spans="2:23" ht="18" customHeight="1">
      <c r="B33" s="14">
        <v>2017</v>
      </c>
      <c r="C33" s="49">
        <f>(5732000*0.0001)/365.25</f>
        <v>1.5693360711841207</v>
      </c>
      <c r="D33" s="49">
        <v>0</v>
      </c>
      <c r="E33" s="49">
        <v>0.36051559665522703</v>
      </c>
      <c r="F33" s="49">
        <v>1.1719150117507406</v>
      </c>
      <c r="G33" s="49">
        <v>0.5490744710457236</v>
      </c>
      <c r="H33" s="49"/>
      <c r="I33" s="49">
        <v>8.8767123287671224E-2</v>
      </c>
      <c r="J33" s="49">
        <v>5.9002758592080977E-2</v>
      </c>
      <c r="K33" s="49">
        <v>1.5626585489599189E-3</v>
      </c>
      <c r="L33" s="49">
        <v>0.10451547437848807</v>
      </c>
      <c r="M33" s="49"/>
      <c r="N33" s="49">
        <v>6.1643835616438353E-2</v>
      </c>
      <c r="O33" s="49">
        <v>5.7886497064579268E-2</v>
      </c>
      <c r="P33" s="49">
        <v>0.92729188619599578</v>
      </c>
      <c r="Q33" s="49">
        <v>2.6078132927447997</v>
      </c>
      <c r="R33" s="49">
        <v>0.23676712328767124</v>
      </c>
      <c r="S33" s="49">
        <v>0.33043370045423431</v>
      </c>
      <c r="T33" s="49">
        <v>9.7576396206533172E-3</v>
      </c>
      <c r="U33" s="50"/>
      <c r="V33" s="53">
        <f t="shared" si="2"/>
        <v>8.1362831404273841</v>
      </c>
      <c r="W33" s="54">
        <f t="shared" si="3"/>
        <v>2969.7433462559952</v>
      </c>
    </row>
    <row r="34" spans="2:23" ht="17.25" customHeight="1">
      <c r="B34" s="12">
        <v>2018</v>
      </c>
      <c r="C34" s="47">
        <f>(6493333*0.0001)/365.25</f>
        <v>1.7777776865160848</v>
      </c>
      <c r="D34" s="47">
        <v>0</v>
      </c>
      <c r="E34" s="47">
        <f>(1344825*0.0001)/365.25</f>
        <v>0.36819301848049285</v>
      </c>
      <c r="F34" s="47">
        <f>(4244476*0.0001)/365.25</f>
        <v>1.1620741957563314</v>
      </c>
      <c r="G34" s="47">
        <f>(1897385*0.0001)/365.25</f>
        <v>0.51947570157426426</v>
      </c>
      <c r="H34" s="47"/>
      <c r="I34" s="47">
        <f>(342444*0.0001)/365.25</f>
        <v>9.3756057494866527E-2</v>
      </c>
      <c r="J34" s="47">
        <f>(1173311*0.0001)/365.25</f>
        <v>0.32123504449007528</v>
      </c>
      <c r="K34" s="47">
        <f>(5278*0.0001)/365.25</f>
        <v>1.4450376454483232E-3</v>
      </c>
      <c r="L34" s="47">
        <f>(396296*0.0001)/365.25</f>
        <v>0.10849993155373033</v>
      </c>
      <c r="M34" s="47"/>
      <c r="N34" s="47">
        <f>(227500*0.0001)/365.25</f>
        <v>6.2286105407255307E-2</v>
      </c>
      <c r="O34" s="47">
        <f>(72857*0.0001)/365.25</f>
        <v>1.9947159479808352E-2</v>
      </c>
      <c r="P34" s="47">
        <f>(3476923*0.0001)/365.25</f>
        <v>0.95192963723477064</v>
      </c>
      <c r="Q34" s="47">
        <f>(9592593*0.0001)/365.25</f>
        <v>2.6263088295687886</v>
      </c>
      <c r="R34" s="47">
        <f>(844938*0.0001)/365.25</f>
        <v>0.23133141683778236</v>
      </c>
      <c r="S34" s="47"/>
      <c r="T34" s="47">
        <f>(34538*0.0001)/365.25</f>
        <v>9.455989048596852E-3</v>
      </c>
      <c r="U34" s="48"/>
      <c r="V34" s="55">
        <f t="shared" si="2"/>
        <v>8.2537158110882967</v>
      </c>
      <c r="W34" s="56">
        <f t="shared" si="3"/>
        <v>3012.6062710472283</v>
      </c>
    </row>
    <row r="35" spans="2:23" ht="17.25" customHeight="1">
      <c r="B35" s="14">
        <v>2019</v>
      </c>
      <c r="C35" s="49">
        <f>(6224000*0.0001)/365.25</f>
        <v>1.7040383299110198</v>
      </c>
      <c r="D35" s="49">
        <v>0</v>
      </c>
      <c r="E35" s="49">
        <f>(1014615*0.0001)/365.25</f>
        <v>0.27778644763860372</v>
      </c>
      <c r="F35" s="49">
        <f>(3636224*0.0001)/365.25</f>
        <v>0.99554387405886391</v>
      </c>
      <c r="G35" s="49">
        <f>(1424330*0.0001)/365.25</f>
        <v>0.38996030116358654</v>
      </c>
      <c r="H35" s="49"/>
      <c r="I35" s="49">
        <f>(161600*0.0001)/365.25</f>
        <v>4.4243668720054759E-2</v>
      </c>
      <c r="J35" s="49">
        <f>(1177894*0.0001)/365.25</f>
        <v>0.32248980150581791</v>
      </c>
      <c r="K35" s="49">
        <f>(4907*0.0001)/365.25</f>
        <v>1.3434633812457221E-3</v>
      </c>
      <c r="L35" s="49">
        <f>(403704*0.0001)/365.25</f>
        <v>0.11052813141683779</v>
      </c>
      <c r="M35" s="49"/>
      <c r="N35" s="49">
        <f>(242500*0.0001)/365.25</f>
        <v>6.6392881587953451E-2</v>
      </c>
      <c r="O35" s="49">
        <f>(83912*0.0001)/365.25</f>
        <v>2.2973853524982886E-2</v>
      </c>
      <c r="P35" s="49">
        <f>(3338462*0.0001)/365.25</f>
        <v>0.91402108145106098</v>
      </c>
      <c r="Q35" s="49">
        <f>(9592593*0.0001)/365.25</f>
        <v>2.6263088295687886</v>
      </c>
      <c r="R35" s="49">
        <f>(846277*0.0001)/365.25</f>
        <v>0.23169801505817933</v>
      </c>
      <c r="S35" s="49"/>
      <c r="T35" s="49">
        <f>(33846*0.0001)/365.25</f>
        <v>9.2665297741273116E-3</v>
      </c>
      <c r="U35" s="50"/>
      <c r="V35" s="53">
        <f t="shared" si="2"/>
        <v>7.716595208761122</v>
      </c>
      <c r="W35" s="54">
        <f t="shared" ref="W35:W39" si="4">V35*365</f>
        <v>2816.5572511978094</v>
      </c>
    </row>
    <row r="36" spans="2:23" ht="17.25" customHeight="1">
      <c r="B36" s="12">
        <v>2020</v>
      </c>
      <c r="C36" s="47">
        <f>(6953333*0.0001)/365.25</f>
        <v>1.9037188227241615</v>
      </c>
      <c r="D36" s="47">
        <v>0</v>
      </c>
      <c r="E36" s="47">
        <f>(892797*0.0001)/365.25</f>
        <v>0.24443449691991789</v>
      </c>
      <c r="F36" s="47">
        <f>(3024126*0.0001)/365.25</f>
        <v>0.82796057494866526</v>
      </c>
      <c r="G36" s="47">
        <f>(1128901*0.0001)/365.25</f>
        <v>0.30907624914442167</v>
      </c>
      <c r="H36" s="47"/>
      <c r="I36" s="47">
        <f>(144400*0.0001)/365.25</f>
        <v>3.9534565366187546E-2</v>
      </c>
      <c r="J36" s="47">
        <f>(1172516*0.0001)/365.25</f>
        <v>0.3210173853524983</v>
      </c>
      <c r="K36" s="47">
        <f>(4407*0.0001)/365.25</f>
        <v>1.2065708418891171E-3</v>
      </c>
      <c r="L36" s="47">
        <f>(362963*0.0001)/365.25</f>
        <v>9.9373853524982889E-2</v>
      </c>
      <c r="M36" s="47"/>
      <c r="N36" s="47">
        <f>(260000*0.0001)/365.25</f>
        <v>7.1184120465434639E-2</v>
      </c>
      <c r="O36" s="47">
        <f>(134500*0.0001)/365.25</f>
        <v>3.6824093086926767E-2</v>
      </c>
      <c r="P36" s="47">
        <f>(3430769*0.0001)/365.25</f>
        <v>0.93929336071184122</v>
      </c>
      <c r="Q36" s="47">
        <f>(9703704*0.0001)/365.25</f>
        <v>2.656729363449692</v>
      </c>
      <c r="R36" s="47">
        <f>(849785*0.0001)/365.25</f>
        <v>0.2326584531143053</v>
      </c>
      <c r="S36" s="47"/>
      <c r="T36" s="47">
        <f>(29154*0.0001)/365.25</f>
        <v>7.9819301848049282E-3</v>
      </c>
      <c r="U36" s="48"/>
      <c r="V36" s="55">
        <f t="shared" si="2"/>
        <v>7.6909938398357287</v>
      </c>
      <c r="W36" s="56">
        <f t="shared" si="4"/>
        <v>2807.2127515400412</v>
      </c>
    </row>
    <row r="37" spans="2:23" ht="17.25" customHeight="1">
      <c r="B37" s="14">
        <v>2021</v>
      </c>
      <c r="C37" s="49">
        <f>( 7156000*0.0001)/365.25</f>
        <v>1.9592060232717317</v>
      </c>
      <c r="D37" s="49">
        <v>0</v>
      </c>
      <c r="E37" s="49">
        <f>(1178881*0.0001)/365.25</f>
        <v>0.3227600273785079</v>
      </c>
      <c r="F37" s="49">
        <f>(3273776*0.0001)/365.25</f>
        <v>0.8963110198494183</v>
      </c>
      <c r="G37" s="49">
        <f>(1375473*0.0001)/365.25</f>
        <v>0.3765839835728953</v>
      </c>
      <c r="H37" s="49"/>
      <c r="I37" s="49">
        <f>(142400*0.0001)/365.25</f>
        <v>3.8986995208761123E-2</v>
      </c>
      <c r="J37" s="49">
        <f>(1202644*0.0001)/365.25</f>
        <v>0.32926598220396991</v>
      </c>
      <c r="K37" s="49">
        <f>(4630*0.0001)/365.25</f>
        <v>1.267624914442163E-3</v>
      </c>
      <c r="L37" s="49">
        <f>(396296*0.0001)/365.25</f>
        <v>0.10849993155373033</v>
      </c>
      <c r="M37" s="49"/>
      <c r="N37" s="49">
        <f>(273500*0.0001)/365.25</f>
        <v>7.488021902806298E-2</v>
      </c>
      <c r="O37" s="49">
        <f>(141265*0.0001)/365.25</f>
        <v>3.867624914442163E-2</v>
      </c>
      <c r="P37" s="49">
        <f>(3369231*0.0001)/365.25</f>
        <v>0.9224451745379878</v>
      </c>
      <c r="Q37" s="49">
        <f>(10259259*0.0001)/365.25</f>
        <v>2.8088320328542093</v>
      </c>
      <c r="R37" s="49">
        <f>(848769*0.0001)/365.25</f>
        <v>0.23238028747433268</v>
      </c>
      <c r="S37" s="49"/>
      <c r="T37" s="49">
        <f>(32692*0.0001)/365.25</f>
        <v>8.9505817932922661E-3</v>
      </c>
      <c r="U37" s="50"/>
      <c r="V37" s="53">
        <f>SUM(C37:U37)</f>
        <v>8.1190461327857637</v>
      </c>
      <c r="W37" s="54">
        <f t="shared" si="4"/>
        <v>2963.4518384668036</v>
      </c>
    </row>
    <row r="38" spans="2:23" ht="15.75" customHeight="1">
      <c r="B38" s="12">
        <v>2022</v>
      </c>
      <c r="C38" s="47">
        <f>(6426667*0.0001)/365.25</f>
        <v>1.7595255304585899</v>
      </c>
      <c r="D38" s="47">
        <v>0</v>
      </c>
      <c r="E38" s="47">
        <f>(1187762*0.0001)/365.25</f>
        <v>0.32519151266255991</v>
      </c>
      <c r="F38" s="47">
        <f>(3393147*0.0001)/365.25</f>
        <v>0.92899301848049287</v>
      </c>
      <c r="G38" s="47">
        <f>(1435033*0.0001)/365.25</f>
        <v>0.39289062286105408</v>
      </c>
      <c r="H38" s="47"/>
      <c r="I38" s="47">
        <f>(134200*0.0001)/365.25</f>
        <v>3.6741957563312798E-2</v>
      </c>
      <c r="J38" s="47">
        <f>(1191651*0.0001)/365.25</f>
        <v>0.32625626283367559</v>
      </c>
      <c r="K38" s="47">
        <f>(4259*0.0001)/365.25</f>
        <v>1.1660506502395619E-3</v>
      </c>
      <c r="L38" s="47">
        <f>(388889*0.0001)/365.25</f>
        <v>0.10647200547570157</v>
      </c>
      <c r="M38" s="47"/>
      <c r="N38" s="47">
        <f>(291000*0.0001)/365.25</f>
        <v>7.9671457905544155E-2</v>
      </c>
      <c r="O38" s="47">
        <f>(138647*0.0001)/365.25</f>
        <v>3.7959479808350446E-2</v>
      </c>
      <c r="P38" s="47">
        <f>(3230769*0.0001)/365.25</f>
        <v>0.8845363449691992</v>
      </c>
      <c r="Q38" s="47">
        <f>(9370370*0.0001)/365.25</f>
        <v>2.5654674880219028</v>
      </c>
      <c r="R38" s="47">
        <f>(819677*0.0001)/365.25</f>
        <v>0.22441533196440797</v>
      </c>
      <c r="S38" s="47"/>
      <c r="T38" s="47">
        <f>(35077*0.0001)/365.25</f>
        <v>9.6035592060232725E-3</v>
      </c>
      <c r="U38" s="48"/>
      <c r="V38" s="55">
        <f>SUM(C38:U38)</f>
        <v>7.6788906228610534</v>
      </c>
      <c r="W38" s="56">
        <f t="shared" si="4"/>
        <v>2802.7950773442844</v>
      </c>
    </row>
    <row r="39" spans="2:23" ht="15.75" customHeight="1">
      <c r="B39" s="14">
        <v>2023</v>
      </c>
      <c r="C39" s="49">
        <f>(7636364*0.0001)/365.25</f>
        <v>2.0907225188227243</v>
      </c>
      <c r="D39" s="49">
        <v>0</v>
      </c>
      <c r="E39" s="49">
        <f>(861399*0.0001)/365.25</f>
        <v>0.2358381930184805</v>
      </c>
      <c r="F39" s="49">
        <f>(2915455*0.0001)/365.25</f>
        <v>0.79820807665982207</v>
      </c>
      <c r="G39" s="49">
        <f>(1060132*0.0001)/365.25</f>
        <v>0.29024832306639292</v>
      </c>
      <c r="H39" s="49"/>
      <c r="I39" s="49">
        <f>(134200*0.0001)/365.25</f>
        <v>3.6741957563312798E-2</v>
      </c>
      <c r="J39" s="49">
        <f>(752219*0.0001)/365.25</f>
        <v>0.20594633812457222</v>
      </c>
      <c r="K39" s="49">
        <f>(5915*0.0001)/365.25</f>
        <v>1.6194387405886379E-3</v>
      </c>
      <c r="L39" s="49">
        <f>(337037*0.0001)/365.25</f>
        <v>9.2275701574264221E-2</v>
      </c>
      <c r="M39" s="49"/>
      <c r="N39" s="49">
        <f>(236500*0.0001)/365.25</f>
        <v>6.4750171115674202E-2</v>
      </c>
      <c r="O39" s="49">
        <f>(145235*0.0001)/365.25</f>
        <v>3.9763175906913077E-2</v>
      </c>
      <c r="P39" s="49">
        <f>(3123077*0.0001)/365.25</f>
        <v>0.85505188227241613</v>
      </c>
      <c r="Q39" s="49">
        <f>(8592593*0.0001)/365.25</f>
        <v>2.3525237508555783</v>
      </c>
      <c r="R39" s="49">
        <f>(688015*0.0001)/365.25</f>
        <v>0.18836824093086929</v>
      </c>
      <c r="S39" s="49"/>
      <c r="T39" s="49">
        <f>(24154*0.0001)/365.25</f>
        <v>6.6130047912388778E-3</v>
      </c>
      <c r="U39" s="50"/>
      <c r="V39" s="53">
        <f>SUM(C39:U39)</f>
        <v>7.2586707734428479</v>
      </c>
      <c r="W39" s="54">
        <f t="shared" si="4"/>
        <v>2649.4148323066397</v>
      </c>
    </row>
    <row r="40" spans="2:23" ht="17.25" customHeight="1">
      <c r="B40" s="12">
        <v>2024</v>
      </c>
      <c r="C40" s="47">
        <f>(6202020*0.0001)/365.25</f>
        <v>1.6980205338809036</v>
      </c>
      <c r="D40" s="47">
        <v>0</v>
      </c>
      <c r="E40" s="47">
        <f>(716224*0.0001)/365.25</f>
        <v>0.19609144421629021</v>
      </c>
      <c r="F40" s="47">
        <f>(2646643*0.0001)/365.25</f>
        <v>0.72461136208076671</v>
      </c>
      <c r="G40" s="47">
        <f>(963780 *0.0001)/365.25</f>
        <v>0.26386858316221767</v>
      </c>
      <c r="H40" s="47"/>
      <c r="I40" s="47">
        <f>(171400*0.0001)/365.25</f>
        <v>4.6926762491444216E-2</v>
      </c>
      <c r="J40" s="47">
        <f>(582705*0.0001)/365.25</f>
        <v>0.15953593429158111</v>
      </c>
      <c r="K40" s="47">
        <f>(6545*0.0001)/365.25</f>
        <v>1.7919233401779606E-3</v>
      </c>
      <c r="L40" s="47">
        <f>(396296*0.0001)/365.25</f>
        <v>0.10849993155373033</v>
      </c>
      <c r="M40" s="47"/>
      <c r="N40" s="47">
        <f>(221000*0.0001)/365.25</f>
        <v>6.0506502395619444E-2</v>
      </c>
      <c r="O40" s="47">
        <f>(125618*0.0001)/365.25</f>
        <v>3.4392334017796032E-2</v>
      </c>
      <c r="P40" s="47">
        <f>(642308*0.0001)/365.25</f>
        <v>0.17585434633812458</v>
      </c>
      <c r="Q40" s="47">
        <f>(7814815 *0.0001)/365.25</f>
        <v>2.1395797399041752</v>
      </c>
      <c r="R40" s="47">
        <f>(236209*0.0001)/365.25</f>
        <v>6.4670499657768651E-2</v>
      </c>
      <c r="S40" s="47"/>
      <c r="T40" s="47">
        <f>(64462*0.0001)/365.25</f>
        <v>1.7648733744010953E-2</v>
      </c>
      <c r="U40" s="48"/>
      <c r="V40" s="55">
        <f>SUM(C40:U40)</f>
        <v>5.6919986310746067</v>
      </c>
      <c r="W40" s="56">
        <f>V40*365</f>
        <v>2077.5795003422313</v>
      </c>
    </row>
    <row r="41" spans="2:23" ht="15.75" customHeight="1">
      <c r="T41" s="9">
        <f>(W40/W10)-1</f>
        <v>-0.38961590742158025</v>
      </c>
      <c r="V41" s="57">
        <f>V39-V40</f>
        <v>1.5666721423682413</v>
      </c>
      <c r="W41" s="8">
        <f>V41*365</f>
        <v>571.83533196440806</v>
      </c>
    </row>
    <row r="42" spans="2:23" ht="15.75" customHeight="1">
      <c r="T42" s="9">
        <f>(V40/V10)-1</f>
        <v>-0.38961590742158025</v>
      </c>
    </row>
    <row r="43" spans="2:23" ht="15.75" customHeight="1">
      <c r="C43" s="44"/>
      <c r="D43" s="44"/>
      <c r="E43" s="44"/>
      <c r="F43" s="44"/>
      <c r="G43" s="44"/>
      <c r="H43" s="44"/>
      <c r="I43" s="44"/>
      <c r="J43" s="44"/>
    </row>
  </sheetData>
  <sheetProtection selectLockedCells="1"/>
  <mergeCells count="6">
    <mergeCell ref="B6:U6"/>
    <mergeCell ref="B1:U1"/>
    <mergeCell ref="B2:U2"/>
    <mergeCell ref="B3:U3"/>
    <mergeCell ref="B4:U4"/>
    <mergeCell ref="B5:U5"/>
  </mergeCells>
  <conditionalFormatting sqref="AH9:AJ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38" orientation="landscape" r:id="rId1"/>
  <headerFooter alignWithMargins="0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0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33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7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7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8"/>
      <c r="C6" s="4"/>
      <c r="O6" s="37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8"/>
      <c r="C7" s="4"/>
      <c r="O7" s="37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8"/>
      <c r="C8" s="4"/>
      <c r="O8" s="37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8"/>
      <c r="C9" s="4"/>
      <c r="O9" s="37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8"/>
      <c r="C10" s="4"/>
      <c r="O10" s="37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8"/>
      <c r="C11" s="4"/>
      <c r="O11" s="37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8"/>
      <c r="C12" s="4"/>
      <c r="O12" s="37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8"/>
      <c r="C13" s="4"/>
      <c r="O13" s="37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8"/>
      <c r="C14" s="4"/>
      <c r="O14" s="3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8"/>
      <c r="C15" s="4"/>
      <c r="O15" s="37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38"/>
      <c r="C16" s="4"/>
      <c r="O16" s="3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8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9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8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9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38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9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38"/>
      <c r="B20" s="19"/>
      <c r="C20" s="20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39"/>
      <c r="P20" s="17"/>
    </row>
    <row r="21" spans="1:25" ht="72" customHeight="1">
      <c r="A21" s="4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7"/>
    </row>
    <row r="22" spans="1:25" ht="6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25" ht="6" customHeight="1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25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2021-01-18T12:54:19Z</cp:lastPrinted>
  <dcterms:created xsi:type="dcterms:W3CDTF">2010-08-25T11:28:54Z</dcterms:created>
  <dcterms:modified xsi:type="dcterms:W3CDTF">2026-01-16T12:42:23Z</dcterms:modified>
</cp:coreProperties>
</file>