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166925"/>
  <mc:AlternateContent xmlns:mc="http://schemas.openxmlformats.org/markup-compatibility/2006">
    <mc:Choice Requires="x15">
      <x15ac:absPath xmlns:x15ac="http://schemas.microsoft.com/office/spreadsheetml/2010/11/ac" url="P:\Erosion Antje\Erheblichkeit\"/>
    </mc:Choice>
  </mc:AlternateContent>
  <xr:revisionPtr revIDLastSave="0" documentId="13_ncr:1_{5D198120-F172-4B8D-ACF7-3869BCE88DFD}" xr6:coauthVersionLast="47" xr6:coauthVersionMax="47" xr10:uidLastSave="{00000000-0000-0000-0000-000000000000}"/>
  <bookViews>
    <workbookView xWindow="-108" yWindow="-108" windowWidth="23256" windowHeight="13536" xr2:uid="{00000000-000D-0000-FFFF-FFFF00000000}"/>
  </bookViews>
  <sheets>
    <sheet name="Deckblatt" sheetId="2" r:id="rId1"/>
    <sheet name="Berechnung" sheetId="1" r:id="rId2"/>
    <sheet name="Hilfe nFK"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0" i="1" l="1"/>
  <c r="H10" i="1" s="1"/>
  <c r="C16" i="1"/>
  <c r="G11" i="1"/>
  <c r="H11" i="1" s="1"/>
  <c r="G12" i="1"/>
  <c r="H12" i="1" s="1"/>
  <c r="G14" i="1"/>
  <c r="H14" i="1" s="1"/>
  <c r="G13" i="1"/>
  <c r="H13" i="1" s="1"/>
  <c r="G15" i="1" l="1"/>
  <c r="D29" i="1"/>
  <c r="N18" i="1" l="1"/>
  <c r="N16" i="1"/>
  <c r="N14" i="1"/>
  <c r="N12" i="1"/>
  <c r="N10" i="1"/>
  <c r="B13" i="3"/>
  <c r="C13" i="3" s="1"/>
  <c r="O18" i="1"/>
  <c r="L18" i="1"/>
  <c r="M19" i="1" s="1"/>
  <c r="K23" i="1"/>
  <c r="L10" i="1"/>
  <c r="L12" i="1"/>
  <c r="L14" i="1"/>
  <c r="L16" i="1"/>
  <c r="D30" i="1" l="1"/>
  <c r="D35" i="1" s="1"/>
  <c r="O19" i="1"/>
  <c r="O23" i="1"/>
  <c r="D41" i="1" l="1"/>
  <c r="D36" i="1"/>
  <c r="F41" i="1" l="1"/>
  <c r="D48" i="1"/>
  <c r="D42" i="1"/>
  <c r="E41" i="1"/>
  <c r="E42" i="1" l="1"/>
  <c r="F42" i="1"/>
  <c r="D43" i="1"/>
  <c r="D49" i="1"/>
  <c r="F43" i="1" l="1"/>
  <c r="E43" i="1"/>
  <c r="O14" i="1" s="1"/>
  <c r="D44" i="1"/>
  <c r="D51" i="1" s="1"/>
  <c r="D50" i="1"/>
  <c r="M18" i="1" l="1"/>
  <c r="M16" i="1"/>
  <c r="O15" i="1"/>
  <c r="D53" i="1"/>
  <c r="E44" i="1"/>
  <c r="O16" i="1" s="1"/>
  <c r="F44" i="1"/>
  <c r="O17" i="1" l="1"/>
  <c r="M23" i="1"/>
  <c r="C20" i="1"/>
  <c r="E53" i="1"/>
  <c r="E48" i="1"/>
  <c r="M10" i="1" s="1"/>
  <c r="F48" i="1" l="1"/>
  <c r="M11" i="1"/>
  <c r="E49" i="1"/>
  <c r="C17" i="1"/>
  <c r="M12" i="1" l="1"/>
  <c r="M13" i="1" s="1"/>
  <c r="O10" i="1"/>
  <c r="O11" i="1" s="1"/>
  <c r="F49" i="1"/>
  <c r="O12" i="1" s="1"/>
  <c r="E50" i="1"/>
  <c r="M14" i="1" s="1"/>
  <c r="O13" i="1" l="1"/>
  <c r="F50" i="1"/>
  <c r="M15" i="1"/>
  <c r="E51" i="1"/>
  <c r="F51" i="1" l="1"/>
  <c r="Q23" i="1" s="1"/>
  <c r="M17" i="1"/>
  <c r="D56" i="1"/>
  <c r="D59" i="1" l="1"/>
  <c r="C21" i="1" s="1"/>
  <c r="D58" i="1"/>
  <c r="C22" i="1" s="1"/>
</calcChain>
</file>

<file path=xl/sharedStrings.xml><?xml version="1.0" encoding="utf-8"?>
<sst xmlns="http://schemas.openxmlformats.org/spreadsheetml/2006/main" count="382" uniqueCount="150">
  <si>
    <t>maximaler Verlustwert</t>
  </si>
  <si>
    <t>Erheblichkeitsschwelle</t>
  </si>
  <si>
    <t>Horizont</t>
  </si>
  <si>
    <t>Eingangsparameter des Bodens</t>
  </si>
  <si>
    <t>maximaler Verlustwert für Horizont 1</t>
  </si>
  <si>
    <t>maximaler Verlustwert für Horizont 2</t>
  </si>
  <si>
    <t>maximaler Verlustwert für Horizont 3</t>
  </si>
  <si>
    <t>maximaler Verlustwert für Horizont 4</t>
  </si>
  <si>
    <t>(%)</t>
  </si>
  <si>
    <t>(mm)</t>
  </si>
  <si>
    <t>Profilverkürzung für Horizont 1</t>
  </si>
  <si>
    <t xml:space="preserve">Berechnung des Schwellenwertes für den Verlust an Profil-Mächtigkeit </t>
  </si>
  <si>
    <t>Profilverkürzung für Horizont 2</t>
  </si>
  <si>
    <t>Profilverkürzung für Horizont 3</t>
  </si>
  <si>
    <t>Profilverkürzung für Horizont 4</t>
  </si>
  <si>
    <t>Berechnung des maximalen Verlustwertes nFKWp30 bzw. der Erheblichkeitsschwelle nFKWp70</t>
  </si>
  <si>
    <t>maximale Profilverkürzung</t>
  </si>
  <si>
    <t>für ein Einzelereignis</t>
  </si>
  <si>
    <t>mittlerer langjähriger Bodenabtrag</t>
  </si>
  <si>
    <t>t/ha</t>
  </si>
  <si>
    <t>Berechnung des erheblichen Bodenabtrags für 300 Jahre</t>
  </si>
  <si>
    <t>Berechnungsschritte:</t>
  </si>
  <si>
    <r>
      <t>t/ha*a</t>
    </r>
    <r>
      <rPr>
        <vertAlign val="superscript"/>
        <sz val="11"/>
        <color theme="1"/>
        <rFont val="Calibri"/>
        <family val="2"/>
        <scheme val="minor"/>
      </rPr>
      <t>-1</t>
    </r>
  </si>
  <si>
    <t>Für das betrachtete Profil</t>
  </si>
  <si>
    <t>Ableitung der maximalen Verlustwerte durch Erosion</t>
  </si>
  <si>
    <t>Berechnung des erheblichen Bodenabtrages durch Erosion</t>
  </si>
  <si>
    <r>
      <t xml:space="preserve">Bitte die </t>
    </r>
    <r>
      <rPr>
        <b/>
        <sz val="11"/>
        <color theme="5"/>
        <rFont val="Calibri"/>
        <family val="2"/>
        <scheme val="minor"/>
      </rPr>
      <t>orange</t>
    </r>
    <r>
      <rPr>
        <sz val="11"/>
        <color theme="1"/>
        <rFont val="Calibri"/>
        <family val="2"/>
        <scheme val="minor"/>
      </rPr>
      <t xml:space="preserve"> gerahmten Felder ausfüllen.</t>
    </r>
  </si>
  <si>
    <t>Mächtigkeit in cm</t>
  </si>
  <si>
    <t>Tiefe der gründigen Zone (Wp in cm)</t>
  </si>
  <si>
    <t>nutzbaren Feldkapazität in der gründigen Zone (nFKWp in mm)</t>
  </si>
  <si>
    <t>Ableitung der nutzbaren Feldkapazität in der gründigen Zone (nFKWp)</t>
  </si>
  <si>
    <t>(cm)</t>
  </si>
  <si>
    <t>Mächtigkeitsverlust in cm</t>
  </si>
  <si>
    <t>nFK Verlust in mm</t>
  </si>
  <si>
    <t>insgesamt</t>
  </si>
  <si>
    <t>Mächtigkeit der Horizonte in cm</t>
  </si>
  <si>
    <t>*</t>
  </si>
  <si>
    <t>Profilverkürzung, wenn 30% überschitten sind (cm)</t>
  </si>
  <si>
    <t>1.</t>
  </si>
  <si>
    <t>2.</t>
  </si>
  <si>
    <t>3.</t>
  </si>
  <si>
    <t>4.</t>
  </si>
  <si>
    <t>5.</t>
  </si>
  <si>
    <t>grafische Darstellung:</t>
  </si>
  <si>
    <t xml:space="preserve">Berechnungstool zur </t>
  </si>
  <si>
    <t>Datenschutz, Haftung und Urheberrecht | Umweltbundesamt</t>
  </si>
  <si>
    <t xml:space="preserve">Forschungskennzahl: </t>
  </si>
  <si>
    <t>Projektnehmer:</t>
  </si>
  <si>
    <t>deutsch</t>
  </si>
  <si>
    <t xml:space="preserve">Erstellung Excel-Tool: </t>
  </si>
  <si>
    <t>FG II 2.7 und FG II 2.4</t>
  </si>
  <si>
    <t xml:space="preserve">Erscheinungsjahr: </t>
  </si>
  <si>
    <t xml:space="preserve">Sprache: </t>
  </si>
  <si>
    <t>3718 72 211 0</t>
  </si>
  <si>
    <t>VisDat GmbH</t>
  </si>
  <si>
    <t>Die Autoren des Leitfadens sind:</t>
  </si>
  <si>
    <t>Michael Gebel, Stephan Bürger; VisDat geodatentechnologie GmbH (VisDat), Dresden</t>
  </si>
  <si>
    <t>Daniel Wurbs; Landesanstalt für Landwirtschaft und Gartenbau (LLG) / Abteilung Zentrum für Acker- und Pflanzenbau / Dezernat Agrarökologie, Bernburg</t>
  </si>
  <si>
    <t>Katharina Brecht, Stephan Fuchs; Karlsruher Institut für Technologie (KIT) / Institut für Wasser und Umwelt (IWG) / Fachbereich Wassergütewirtschaft, Karlsruhe</t>
  </si>
  <si>
    <t xml:space="preserve">Abschlussbericht: </t>
  </si>
  <si>
    <t>Nutzung des Tools:</t>
  </si>
  <si>
    <t>Lagerungsdichte in g/cm³</t>
  </si>
  <si>
    <t>für einzelne geschichtete Bodenprofile</t>
  </si>
  <si>
    <t>Letzte Überarbeitung:</t>
  </si>
  <si>
    <t>nFK in mm je Horizont</t>
  </si>
  <si>
    <t>Bewertungsleitfaden ab S. 89</t>
  </si>
  <si>
    <t>Erheblichkeit von erosivem Bodenabtrag – Entwicklung eines methodischen Bewertungsansatzes | Umweltbundesamt</t>
  </si>
  <si>
    <t>(3) Anteil Grobboden (Vol-%)</t>
  </si>
  <si>
    <t>(1) Bestimmen der nFK aus Bodenart und TRD-Stufe gemäß Tab. 70, KA5 </t>
  </si>
  <si>
    <t>(2) Bestimmen des Zu- oder Abschlags für nFK in Abh. von der org. Substanz gemäß Tab. 72, KA5 aus Bodenart und Humusstufe (Tab. 72), </t>
  </si>
  <si>
    <t>nFK in mm/dm</t>
  </si>
  <si>
    <t>Bestimmen der nFK in mm/dm je Horizont (KA5, Tab. 70, 72 (Ad hoc AG Boden 2005)): </t>
  </si>
  <si>
    <t>Berechnung des maximalen Verlustwertes nFKWp</t>
  </si>
  <si>
    <r>
      <t xml:space="preserve">nFK in mm/dm </t>
    </r>
    <r>
      <rPr>
        <sz val="8"/>
        <color theme="5" tint="-0.249977111117893"/>
        <rFont val="Calibri"/>
        <family val="2"/>
        <scheme val="minor"/>
      </rPr>
      <t>(Tabellenblatt 'Hilfe nFK')</t>
    </r>
  </si>
  <si>
    <t>Aufnahmejahr</t>
  </si>
  <si>
    <t>Erheblichkeitsschwelle in %</t>
  </si>
  <si>
    <t>nFK in mm pro Horizont</t>
  </si>
  <si>
    <t xml:space="preserve">Standortsname: </t>
  </si>
  <si>
    <t>Maximal betrachtete Profiltiefe in cm</t>
  </si>
  <si>
    <t>Bodenart</t>
  </si>
  <si>
    <t>pt1+2</t>
  </si>
  <si>
    <t>pt3</t>
  </si>
  <si>
    <t>pt4+5</t>
  </si>
  <si>
    <t>Kurzzeichen</t>
  </si>
  <si>
    <t>Ss</t>
  </si>
  <si>
    <t>Sl2</t>
  </si>
  <si>
    <t>Sl3</t>
  </si>
  <si>
    <t>Sl4</t>
  </si>
  <si>
    <t>Slu</t>
  </si>
  <si>
    <t>St2</t>
  </si>
  <si>
    <t>St3</t>
  </si>
  <si>
    <t>Su2</t>
  </si>
  <si>
    <t>Su3</t>
  </si>
  <si>
    <t>Su4</t>
  </si>
  <si>
    <t>Ls2</t>
  </si>
  <si>
    <t>Ls3</t>
  </si>
  <si>
    <t>Ls4</t>
  </si>
  <si>
    <t>Lt2</t>
  </si>
  <si>
    <t>Lt3</t>
  </si>
  <si>
    <t>Lu</t>
  </si>
  <si>
    <t>Uu</t>
  </si>
  <si>
    <t>Uls</t>
  </si>
  <si>
    <t>Us</t>
  </si>
  <si>
    <t>Ut2</t>
  </si>
  <si>
    <t>Ut3</t>
  </si>
  <si>
    <t>Ut4</t>
  </si>
  <si>
    <t>Tt</t>
  </si>
  <si>
    <t>Tl</t>
  </si>
  <si>
    <t>Tu2</t>
  </si>
  <si>
    <t>Tu3</t>
  </si>
  <si>
    <t>Tu4</t>
  </si>
  <si>
    <t>Ts2</t>
  </si>
  <si>
    <t>Ts3</t>
  </si>
  <si>
    <t>Ts4</t>
  </si>
  <si>
    <t>Sande</t>
  </si>
  <si>
    <t>fS, fSms, fSgs</t>
  </si>
  <si>
    <t>gS</t>
  </si>
  <si>
    <t>Lts</t>
  </si>
  <si>
    <t>mS, mSfs, mSgs</t>
  </si>
  <si>
    <t>pt1</t>
  </si>
  <si>
    <t>pt2</t>
  </si>
  <si>
    <t>Nutzbare Feldkapazität</t>
  </si>
  <si>
    <t>Bodenart Kurzzeichen</t>
  </si>
  <si>
    <t>mittlerer Tongehalt in Masse-%</t>
  </si>
  <si>
    <t>Trockenrohdichte pt in Stufen</t>
  </si>
  <si>
    <t>effektive Lagerungsdichte Ld in Stufen</t>
  </si>
  <si>
    <t>Ld1</t>
  </si>
  <si>
    <t>Ld2</t>
  </si>
  <si>
    <t>Ld3</t>
  </si>
  <si>
    <t>Ld4</t>
  </si>
  <si>
    <t>Ld5</t>
  </si>
  <si>
    <t>pt4</t>
  </si>
  <si>
    <t>pt5</t>
  </si>
  <si>
    <t>nutzbare Feldkapazität</t>
  </si>
  <si>
    <t>organische Substanz in Stufen</t>
  </si>
  <si>
    <t>h2</t>
  </si>
  <si>
    <t>h3</t>
  </si>
  <si>
    <t>h4</t>
  </si>
  <si>
    <t>h5</t>
  </si>
  <si>
    <t>nutzbare Feldkapazität Poren 0,2 bis 50 µm (pF 4,2 bis 1,8)</t>
  </si>
  <si>
    <t>Auszug Tabelle 70, KA5 (Seite 344)</t>
  </si>
  <si>
    <t>Ergänzungstabelle 70 für die Trockenrohdichtestunfen pt1 und pt2 bei tonreichen Böden (Seite 345)</t>
  </si>
  <si>
    <t>Auszug Tabelle 71, KA5 (Seite 346)</t>
  </si>
  <si>
    <t>Auszug Tabelle 72, KA5 (Seite 347)</t>
  </si>
  <si>
    <t>Dieses Tool ist andwendbar für Einzelprofile und basiert auf dem Bewertungsleitfaden "Erheblichkeit von Bodenabtrag für die Gefahrenabwehr schädlicher Bodenveränderungen". Die darin vorgestellten Berechnungsschritte wurden in diese Exceldatei übertragen. Eine Herleitungshilfe des Wertes nFK nach der KA5 ist im Tabellenblatt "Hilfe nFK" zu finden. Nach Eingabe der Ausgangsparameter in den organge gerahmten Zellen in dem Tabellenblatt "Berechnung", werden die Ergebnisse direkt angezeigt. Die blau gerahmten Zellen sollen unverändert bleiben. Für eine bessere Übersicht gibt es noch eine grafische Ansicht der Ausgangsituation und der Berechnungsergebnisse.</t>
  </si>
  <si>
    <t>Hrsg. von der Bundesanstalt für Geowissenschaften und Rohstoffe in Zusammenarbeit mit den Staatlichen Geologischen Diensten</t>
  </si>
  <si>
    <t>Hrsg.: Wolf Eckelmann; Red.: H. Sponagel; W. Grottenthaler; K.-J. Hartmann; R. Hartwich; P. Janetzko; H. Joisten; D. Kühn; K.-J. Sabel; R. Traidl; Hrsg.: Ad-hoc-Arbeitsgruppe Boden</t>
  </si>
  <si>
    <t xml:space="preserve">Bodenkundliche Kartieranleitung. KA5 </t>
  </si>
  <si>
    <t>ISBN 978-3-510-95920-4</t>
  </si>
  <si>
    <t>Mächtigkeit in cm in der betrachteten Profiltiefe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</si>
</sst>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sz val="11"/>
      <color rgb="FFFF0000"/>
      <name val="Calibri"/>
      <family val="2"/>
      <scheme val="minor"/>
    </font>
    <font>
      <b/>
      <sz val="11"/>
      <color theme="1"/>
      <name val="Calibri"/>
      <family val="2"/>
      <scheme val="minor"/>
    </font>
    <font>
      <vertAlign val="superscript"/>
      <sz val="11"/>
      <color theme="1"/>
      <name val="Calibri"/>
      <family val="2"/>
      <scheme val="minor"/>
    </font>
    <font>
      <b/>
      <sz val="16"/>
      <color theme="1"/>
      <name val="Calibri"/>
      <family val="2"/>
      <scheme val="minor"/>
    </font>
    <font>
      <b/>
      <sz val="11"/>
      <color theme="5"/>
      <name val="Calibri"/>
      <family val="2"/>
      <scheme val="minor"/>
    </font>
    <font>
      <sz val="11"/>
      <color theme="0"/>
      <name val="Calibri"/>
      <family val="2"/>
      <scheme val="minor"/>
    </font>
    <font>
      <b/>
      <sz val="11"/>
      <color rgb="FFFF0000"/>
      <name val="Calibri"/>
      <family val="2"/>
      <scheme val="minor"/>
    </font>
    <font>
      <u/>
      <sz val="11"/>
      <color theme="1"/>
      <name val="Calibri"/>
      <family val="2"/>
      <scheme val="minor"/>
    </font>
    <font>
      <u val="double"/>
      <sz val="11"/>
      <color theme="1"/>
      <name val="Calibri"/>
      <family val="2"/>
      <scheme val="minor"/>
    </font>
    <font>
      <u/>
      <sz val="11"/>
      <color theme="10"/>
      <name val="Calibri"/>
      <family val="2"/>
      <scheme val="minor"/>
    </font>
    <font>
      <sz val="12"/>
      <color theme="1"/>
      <name val="Calibri"/>
      <family val="2"/>
      <scheme val="minor"/>
    </font>
    <font>
      <b/>
      <u/>
      <sz val="12"/>
      <color theme="1"/>
      <name val="Calibri"/>
      <family val="2"/>
      <scheme val="minor"/>
    </font>
    <font>
      <b/>
      <sz val="12"/>
      <color rgb="FFFF0000"/>
      <name val="Calibri"/>
      <family val="2"/>
      <scheme val="minor"/>
    </font>
    <font>
      <sz val="11"/>
      <color theme="5" tint="-0.249977111117893"/>
      <name val="Calibri"/>
      <family val="2"/>
      <scheme val="minor"/>
    </font>
    <font>
      <sz val="8"/>
      <color theme="5" tint="-0.249977111117893"/>
      <name val="Calibri"/>
      <family val="2"/>
      <scheme val="minor"/>
    </font>
    <font>
      <u/>
      <sz val="11"/>
      <color theme="5" tint="-0.249977111117893"/>
      <name val="Calibri"/>
      <family val="2"/>
      <scheme val="minor"/>
    </font>
    <font>
      <sz val="8"/>
      <name val="Calibri"/>
      <family val="2"/>
      <scheme val="minor"/>
    </font>
    <font>
      <b/>
      <sz val="11"/>
      <color theme="1"/>
      <name val="Times New Roman"/>
      <family val="1"/>
    </font>
    <font>
      <sz val="11"/>
      <color theme="1"/>
      <name val="Times New Roman"/>
      <family val="1"/>
    </font>
    <font>
      <sz val="11"/>
      <color rgb="FF0070C0"/>
      <name val="Calibri"/>
      <family val="2"/>
      <scheme val="minor"/>
    </font>
    <font>
      <b/>
      <sz val="12"/>
      <color rgb="FF0070C0"/>
      <name val="Calibri"/>
      <family val="2"/>
      <scheme val="minor"/>
    </font>
    <font>
      <sz val="11"/>
      <color rgb="FF000000"/>
      <name val="Calibri"/>
      <family val="2"/>
      <scheme val="minor"/>
    </font>
  </fonts>
  <fills count="5">
    <fill>
      <patternFill patternType="none"/>
    </fill>
    <fill>
      <patternFill patternType="gray125"/>
    </fill>
    <fill>
      <patternFill patternType="solid">
        <fgColor theme="7"/>
        <bgColor indexed="64"/>
      </patternFill>
    </fill>
    <fill>
      <patternFill patternType="solid">
        <fgColor theme="4" tint="0.79998168889431442"/>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auto="1"/>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ck">
        <color theme="5"/>
      </left>
      <right style="thin">
        <color indexed="64"/>
      </right>
      <top style="thick">
        <color theme="5"/>
      </top>
      <bottom style="thin">
        <color indexed="64"/>
      </bottom>
      <diagonal/>
    </border>
    <border>
      <left style="thin">
        <color indexed="64"/>
      </left>
      <right style="thick">
        <color theme="5"/>
      </right>
      <top style="thick">
        <color theme="5"/>
      </top>
      <bottom style="thin">
        <color indexed="64"/>
      </bottom>
      <diagonal/>
    </border>
    <border>
      <left style="thick">
        <color theme="5"/>
      </left>
      <right style="thin">
        <color indexed="64"/>
      </right>
      <top style="thin">
        <color indexed="64"/>
      </top>
      <bottom style="thin">
        <color indexed="64"/>
      </bottom>
      <diagonal/>
    </border>
    <border>
      <left style="thick">
        <color theme="5"/>
      </left>
      <right style="thin">
        <color indexed="64"/>
      </right>
      <top style="thin">
        <color indexed="64"/>
      </top>
      <bottom style="thick">
        <color theme="5"/>
      </bottom>
      <diagonal/>
    </border>
    <border>
      <left style="thin">
        <color indexed="64"/>
      </left>
      <right style="thick">
        <color theme="5"/>
      </right>
      <top style="thin">
        <color indexed="64"/>
      </top>
      <bottom style="thick">
        <color theme="5"/>
      </bottom>
      <diagonal/>
    </border>
    <border>
      <left style="thin">
        <color rgb="FFFF0000"/>
      </left>
      <right style="thin">
        <color rgb="FFFF0000"/>
      </right>
      <top style="thin">
        <color rgb="FFFF0000"/>
      </top>
      <bottom style="thin">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theme="5"/>
      </left>
      <right style="medium">
        <color theme="5"/>
      </right>
      <top style="medium">
        <color theme="5"/>
      </top>
      <bottom style="medium">
        <color theme="5"/>
      </bottom>
      <diagonal/>
    </border>
    <border>
      <left/>
      <right/>
      <top style="thin">
        <color indexed="64"/>
      </top>
      <bottom style="thin">
        <color indexed="64"/>
      </bottom>
      <diagonal/>
    </border>
    <border>
      <left style="thin">
        <color indexed="64"/>
      </left>
      <right style="thick">
        <color theme="5"/>
      </right>
      <top style="thin">
        <color indexed="64"/>
      </top>
      <bottom style="thin">
        <color indexed="64"/>
      </bottom>
      <diagonal/>
    </border>
    <border>
      <left style="thick">
        <color theme="5"/>
      </left>
      <right style="thick">
        <color theme="5"/>
      </right>
      <top style="thick">
        <color theme="5"/>
      </top>
      <bottom style="thick">
        <color theme="5"/>
      </bottom>
      <diagonal/>
    </border>
    <border>
      <left/>
      <right/>
      <top style="medium">
        <color indexed="64"/>
      </top>
      <bottom style="thin">
        <color indexed="64"/>
      </bottom>
      <diagonal/>
    </border>
    <border>
      <left/>
      <right/>
      <top style="thin">
        <color indexed="64"/>
      </top>
      <bottom style="medium">
        <color indexed="64"/>
      </bottom>
      <diagonal/>
    </border>
    <border>
      <left style="thick">
        <color theme="5"/>
      </left>
      <right style="thick">
        <color theme="5"/>
      </right>
      <top style="thick">
        <color theme="5"/>
      </top>
      <bottom style="thin">
        <color indexed="64"/>
      </bottom>
      <diagonal/>
    </border>
    <border>
      <left style="thick">
        <color theme="5"/>
      </left>
      <right style="thick">
        <color theme="5"/>
      </right>
      <top/>
      <bottom style="thin">
        <color indexed="64"/>
      </bottom>
      <diagonal/>
    </border>
    <border>
      <left style="thick">
        <color theme="5"/>
      </left>
      <right style="thick">
        <color theme="5"/>
      </right>
      <top style="thin">
        <color indexed="64"/>
      </top>
      <bottom style="thick">
        <color theme="5"/>
      </bottom>
      <diagonal/>
    </border>
    <border>
      <left/>
      <right style="thick">
        <color theme="5"/>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theme="5"/>
      </left>
      <right/>
      <top style="thick">
        <color theme="5"/>
      </top>
      <bottom style="thick">
        <color theme="5"/>
      </bottom>
      <diagonal/>
    </border>
    <border>
      <left/>
      <right style="thick">
        <color theme="5"/>
      </right>
      <top style="thick">
        <color theme="5"/>
      </top>
      <bottom style="thick">
        <color theme="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ck">
        <color rgb="FF0070C0"/>
      </left>
      <right style="thick">
        <color rgb="FF0070C0"/>
      </right>
      <top style="thick">
        <color theme="5"/>
      </top>
      <bottom style="thick">
        <color rgb="FF0070C0"/>
      </bottom>
      <diagonal/>
    </border>
    <border>
      <left style="thick">
        <color rgb="FF0070C0"/>
      </left>
      <right style="thick">
        <color rgb="FF0070C0"/>
      </right>
      <top style="thick">
        <color rgb="FF0070C0"/>
      </top>
      <bottom style="thick">
        <color rgb="FF0070C0"/>
      </bottom>
      <diagonal/>
    </border>
  </borders>
  <cellStyleXfs count="2">
    <xf numFmtId="0" fontId="0" fillId="0" borderId="0"/>
    <xf numFmtId="0" fontId="10" fillId="0" borderId="0" applyNumberFormat="0" applyFill="0" applyBorder="0" applyAlignment="0" applyProtection="0"/>
  </cellStyleXfs>
  <cellXfs count="149">
    <xf numFmtId="0" fontId="0" fillId="0" borderId="0" xfId="0"/>
    <xf numFmtId="0" fontId="2" fillId="0" borderId="0" xfId="0" applyFont="1"/>
    <xf numFmtId="0" fontId="0" fillId="0" borderId="1" xfId="0" applyBorder="1" applyAlignment="1">
      <alignment horizontal="center"/>
    </xf>
    <xf numFmtId="1" fontId="0" fillId="0" borderId="0" xfId="0" applyNumberFormat="1"/>
    <xf numFmtId="0" fontId="1" fillId="0" borderId="0" xfId="0" applyFont="1"/>
    <xf numFmtId="0" fontId="0" fillId="0" borderId="0" xfId="0" applyAlignment="1">
      <alignment horizontal="center"/>
    </xf>
    <xf numFmtId="0" fontId="0" fillId="0" borderId="1" xfId="0" applyBorder="1" applyAlignment="1">
      <alignment horizontal="center" wrapText="1"/>
    </xf>
    <xf numFmtId="164" fontId="0" fillId="0" borderId="0" xfId="0" applyNumberFormat="1" applyAlignment="1">
      <alignment horizontal="center"/>
    </xf>
    <xf numFmtId="0" fontId="0" fillId="0" borderId="6" xfId="0" applyBorder="1"/>
    <xf numFmtId="0" fontId="1" fillId="0" borderId="6" xfId="0" applyFont="1" applyBorder="1"/>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4" fillId="0" borderId="0" xfId="0" applyFont="1"/>
    <xf numFmtId="1" fontId="0" fillId="0" borderId="1" xfId="0" applyNumberFormat="1" applyBorder="1" applyAlignment="1">
      <alignment horizontal="center"/>
    </xf>
    <xf numFmtId="0" fontId="0" fillId="0" borderId="1" xfId="0" applyFill="1" applyBorder="1" applyAlignment="1">
      <alignment horizontal="center"/>
    </xf>
    <xf numFmtId="0" fontId="0" fillId="2" borderId="0" xfId="0" applyFill="1" applyAlignment="1">
      <alignment horizontal="center"/>
    </xf>
    <xf numFmtId="164" fontId="0" fillId="0" borderId="15" xfId="0" applyNumberFormat="1" applyBorder="1" applyAlignment="1">
      <alignment horizontal="center"/>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7" fillId="0" borderId="0" xfId="0" applyFont="1"/>
    <xf numFmtId="0" fontId="2" fillId="0" borderId="0" xfId="0" applyFont="1" applyAlignment="1">
      <alignment horizontal="right"/>
    </xf>
    <xf numFmtId="0" fontId="0" fillId="0" borderId="1" xfId="0" applyBorder="1"/>
    <xf numFmtId="1" fontId="0" fillId="0" borderId="1" xfId="0" applyNumberFormat="1" applyBorder="1"/>
    <xf numFmtId="0" fontId="6" fillId="0" borderId="1" xfId="0" applyFont="1" applyBorder="1" applyAlignment="1"/>
    <xf numFmtId="164" fontId="0" fillId="0" borderId="1" xfId="0" applyNumberFormat="1" applyBorder="1" applyAlignment="1">
      <alignment horizontal="center"/>
    </xf>
    <xf numFmtId="164" fontId="0" fillId="0" borderId="1" xfId="0" applyNumberFormat="1" applyBorder="1"/>
    <xf numFmtId="0" fontId="0" fillId="0" borderId="0" xfId="0" applyBorder="1"/>
    <xf numFmtId="164" fontId="0" fillId="0" borderId="0" xfId="0" applyNumberFormat="1" applyBorder="1" applyAlignment="1">
      <alignment horizontal="center"/>
    </xf>
    <xf numFmtId="164" fontId="0" fillId="0" borderId="0" xfId="0" applyNumberFormat="1" applyBorder="1"/>
    <xf numFmtId="164" fontId="6" fillId="0" borderId="1" xfId="0" applyNumberFormat="1" applyFont="1" applyBorder="1"/>
    <xf numFmtId="164" fontId="9" fillId="0" borderId="0" xfId="0" applyNumberFormat="1" applyFont="1" applyBorder="1" applyAlignment="1">
      <alignment horizontal="center"/>
    </xf>
    <xf numFmtId="0" fontId="9" fillId="0" borderId="0" xfId="0" applyFont="1" applyBorder="1"/>
    <xf numFmtId="2" fontId="0" fillId="0" borderId="0" xfId="0" applyNumberFormat="1"/>
    <xf numFmtId="1" fontId="6" fillId="0" borderId="0" xfId="0" applyNumberFormat="1" applyFont="1"/>
    <xf numFmtId="0" fontId="0" fillId="0" borderId="10" xfId="0" applyBorder="1" applyAlignment="1" applyProtection="1">
      <alignment horizontal="center" wrapText="1"/>
      <protection locked="0"/>
    </xf>
    <xf numFmtId="0" fontId="0" fillId="0" borderId="0" xfId="0" applyAlignment="1">
      <alignment wrapText="1"/>
    </xf>
    <xf numFmtId="0" fontId="10" fillId="0" borderId="0" xfId="1"/>
    <xf numFmtId="17" fontId="0" fillId="0" borderId="0" xfId="0" applyNumberFormat="1" applyAlignment="1">
      <alignment horizontal="left"/>
    </xf>
    <xf numFmtId="0" fontId="0" fillId="4" borderId="19" xfId="0" applyFill="1" applyBorder="1"/>
    <xf numFmtId="0" fontId="0" fillId="4" borderId="22" xfId="0" applyFill="1" applyBorder="1"/>
    <xf numFmtId="0" fontId="6" fillId="4" borderId="22" xfId="0" applyFont="1" applyFill="1" applyBorder="1" applyAlignment="1">
      <alignment horizontal="right"/>
    </xf>
    <xf numFmtId="0" fontId="8" fillId="4" borderId="0" xfId="0" applyFont="1" applyFill="1" applyBorder="1"/>
    <xf numFmtId="0" fontId="0" fillId="4" borderId="0" xfId="0" applyFill="1" applyBorder="1"/>
    <xf numFmtId="0" fontId="0" fillId="4" borderId="23" xfId="0" applyFill="1" applyBorder="1"/>
    <xf numFmtId="0" fontId="0" fillId="4" borderId="22" xfId="0" applyFill="1" applyBorder="1" applyAlignment="1">
      <alignment horizontal="right" vertical="top"/>
    </xf>
    <xf numFmtId="0" fontId="0" fillId="4" borderId="0" xfId="0" applyFill="1" applyBorder="1" applyAlignment="1"/>
    <xf numFmtId="0" fontId="0" fillId="4" borderId="24" xfId="0" applyFill="1" applyBorder="1" applyAlignment="1">
      <alignment horizontal="right" vertical="top"/>
    </xf>
    <xf numFmtId="0" fontId="12" fillId="0" borderId="0" xfId="0" applyFont="1"/>
    <xf numFmtId="0" fontId="0" fillId="0" borderId="27" xfId="0" applyBorder="1" applyAlignment="1">
      <alignment horizontal="center"/>
    </xf>
    <xf numFmtId="0" fontId="2" fillId="0" borderId="0" xfId="0" applyFont="1" applyAlignment="1">
      <alignment horizontal="center"/>
    </xf>
    <xf numFmtId="0" fontId="0" fillId="0" borderId="0" xfId="0" applyFill="1" applyBorder="1"/>
    <xf numFmtId="0" fontId="0" fillId="0" borderId="0" xfId="0" applyFill="1" applyBorder="1" applyAlignment="1">
      <alignment horizontal="left" vertical="top" wrapText="1"/>
    </xf>
    <xf numFmtId="0" fontId="0" fillId="0" borderId="11" xfId="0" applyBorder="1" applyAlignment="1" applyProtection="1">
      <alignment horizontal="center" wrapText="1"/>
      <protection locked="0"/>
    </xf>
    <xf numFmtId="0" fontId="0" fillId="0" borderId="30"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35" xfId="0" applyBorder="1" applyAlignment="1" applyProtection="1">
      <alignment horizontal="center"/>
      <protection locked="0"/>
    </xf>
    <xf numFmtId="164" fontId="0" fillId="0" borderId="35" xfId="0" applyNumberFormat="1" applyBorder="1" applyAlignment="1" applyProtection="1">
      <alignment horizontal="center"/>
      <protection locked="0"/>
    </xf>
    <xf numFmtId="0" fontId="0" fillId="0" borderId="36" xfId="0" applyBorder="1" applyAlignment="1" applyProtection="1">
      <alignment horizontal="center"/>
      <protection locked="0"/>
    </xf>
    <xf numFmtId="0" fontId="0" fillId="0" borderId="4" xfId="0" applyBorder="1" applyAlignment="1">
      <alignment horizontal="center" vertical="center" wrapText="1"/>
    </xf>
    <xf numFmtId="0" fontId="0" fillId="0" borderId="2" xfId="0" applyBorder="1" applyAlignment="1">
      <alignment horizontal="center" vertical="center"/>
    </xf>
    <xf numFmtId="164" fontId="0" fillId="3" borderId="0" xfId="0" applyNumberFormat="1" applyFill="1" applyAlignment="1">
      <alignment horizontal="center"/>
    </xf>
    <xf numFmtId="164" fontId="0" fillId="0" borderId="32" xfId="0" applyNumberFormat="1" applyBorder="1" applyAlignment="1" applyProtection="1">
      <alignment horizontal="center"/>
    </xf>
    <xf numFmtId="164" fontId="0" fillId="0" borderId="29" xfId="0" applyNumberFormat="1" applyBorder="1" applyAlignment="1" applyProtection="1">
      <alignment horizontal="center"/>
    </xf>
    <xf numFmtId="164" fontId="0" fillId="0" borderId="33" xfId="0" applyNumberFormat="1" applyBorder="1" applyAlignment="1" applyProtection="1">
      <alignment horizontal="center"/>
    </xf>
    <xf numFmtId="0" fontId="0" fillId="0" borderId="28" xfId="0" applyBorder="1" applyAlignment="1" applyProtection="1">
      <alignment horizontal="center"/>
      <protection locked="0"/>
    </xf>
    <xf numFmtId="0" fontId="1" fillId="0" borderId="0" xfId="0" applyFont="1" applyBorder="1"/>
    <xf numFmtId="14" fontId="0" fillId="0" borderId="0" xfId="0" applyNumberFormat="1" applyBorder="1" applyAlignment="1">
      <alignment horizontal="center" vertical="center"/>
    </xf>
    <xf numFmtId="0" fontId="14" fillId="0" borderId="4" xfId="0" applyFont="1" applyBorder="1" applyAlignment="1">
      <alignment horizontal="center" vertical="center" wrapText="1"/>
    </xf>
    <xf numFmtId="0" fontId="14" fillId="0" borderId="5" xfId="0" applyFont="1" applyFill="1" applyBorder="1" applyAlignment="1">
      <alignment horizontal="center" vertical="center" wrapText="1"/>
    </xf>
    <xf numFmtId="0" fontId="13" fillId="0" borderId="0" xfId="0" applyFont="1" applyAlignment="1">
      <alignment wrapText="1"/>
    </xf>
    <xf numFmtId="0" fontId="16" fillId="0" borderId="0" xfId="0" applyFont="1" applyAlignment="1">
      <alignment horizontal="center"/>
    </xf>
    <xf numFmtId="0" fontId="19" fillId="0" borderId="1" xfId="0" applyFont="1" applyBorder="1" applyAlignment="1">
      <alignment horizontal="center"/>
    </xf>
    <xf numFmtId="0" fontId="19" fillId="0" borderId="45" xfId="0" applyFont="1" applyFill="1" applyBorder="1" applyAlignment="1">
      <alignment horizontal="center"/>
    </xf>
    <xf numFmtId="0" fontId="18" fillId="0" borderId="38" xfId="0" applyFont="1" applyBorder="1" applyAlignment="1">
      <alignment horizontal="center" vertical="center"/>
    </xf>
    <xf numFmtId="0" fontId="18" fillId="0" borderId="39" xfId="0" applyFont="1" applyBorder="1" applyAlignment="1">
      <alignment horizontal="center"/>
    </xf>
    <xf numFmtId="0" fontId="19" fillId="0" borderId="50" xfId="0" applyFont="1" applyBorder="1" applyAlignment="1">
      <alignment horizontal="center"/>
    </xf>
    <xf numFmtId="0" fontId="18" fillId="0" borderId="40" xfId="0" applyFont="1" applyBorder="1" applyAlignment="1">
      <alignment horizontal="center"/>
    </xf>
    <xf numFmtId="0" fontId="19" fillId="0" borderId="52" xfId="0" applyFont="1" applyBorder="1" applyAlignment="1">
      <alignment horizontal="center"/>
    </xf>
    <xf numFmtId="0" fontId="19" fillId="0" borderId="53" xfId="0" applyFont="1" applyBorder="1" applyAlignment="1">
      <alignment horizontal="center"/>
    </xf>
    <xf numFmtId="0" fontId="18" fillId="0" borderId="54" xfId="0" applyFont="1" applyBorder="1" applyAlignment="1">
      <alignment horizontal="center"/>
    </xf>
    <xf numFmtId="0" fontId="19" fillId="0" borderId="47" xfId="0" applyFont="1" applyBorder="1" applyAlignment="1">
      <alignment horizontal="center"/>
    </xf>
    <xf numFmtId="0" fontId="19" fillId="0" borderId="55" xfId="0" applyFont="1" applyBorder="1" applyAlignment="1">
      <alignment horizontal="center"/>
    </xf>
    <xf numFmtId="0" fontId="18" fillId="0" borderId="40" xfId="0" applyFont="1" applyBorder="1"/>
    <xf numFmtId="0" fontId="18" fillId="0" borderId="52" xfId="0" applyFont="1" applyBorder="1" applyAlignment="1">
      <alignment horizontal="center"/>
    </xf>
    <xf numFmtId="0" fontId="18" fillId="0" borderId="53" xfId="0" applyFont="1" applyBorder="1" applyAlignment="1">
      <alignment horizontal="center"/>
    </xf>
    <xf numFmtId="0" fontId="18" fillId="0" borderId="57" xfId="0" applyFont="1" applyBorder="1" applyAlignment="1">
      <alignment horizontal="center"/>
    </xf>
    <xf numFmtId="0" fontId="18" fillId="0" borderId="58" xfId="0" applyFont="1" applyBorder="1" applyAlignment="1">
      <alignment horizontal="center"/>
    </xf>
    <xf numFmtId="0" fontId="18" fillId="0" borderId="57" xfId="0" applyFont="1" applyFill="1" applyBorder="1" applyAlignment="1">
      <alignment horizontal="center"/>
    </xf>
    <xf numFmtId="0" fontId="18" fillId="0" borderId="58" xfId="0" applyFont="1" applyFill="1" applyBorder="1" applyAlignment="1">
      <alignment horizontal="center"/>
    </xf>
    <xf numFmtId="0" fontId="18" fillId="0" borderId="39" xfId="0" applyFont="1" applyBorder="1" applyAlignment="1">
      <alignment horizontal="center" wrapText="1"/>
    </xf>
    <xf numFmtId="0" fontId="19" fillId="0" borderId="1" xfId="0" applyFont="1" applyBorder="1" applyAlignment="1">
      <alignment horizontal="center" wrapText="1"/>
    </xf>
    <xf numFmtId="0" fontId="19" fillId="0" borderId="50" xfId="0" applyFont="1" applyBorder="1" applyAlignment="1">
      <alignment horizontal="center" wrapText="1"/>
    </xf>
    <xf numFmtId="0" fontId="18" fillId="0" borderId="40" xfId="0" applyFont="1" applyBorder="1" applyAlignment="1">
      <alignment horizontal="center" wrapText="1"/>
    </xf>
    <xf numFmtId="0" fontId="19" fillId="0" borderId="52" xfId="0" applyFont="1" applyBorder="1" applyAlignment="1">
      <alignment horizontal="center" wrapText="1"/>
    </xf>
    <xf numFmtId="0" fontId="19" fillId="0" borderId="53" xfId="0" applyFont="1" applyBorder="1" applyAlignment="1">
      <alignment horizontal="center" wrapText="1"/>
    </xf>
    <xf numFmtId="0" fontId="18" fillId="0" borderId="54" xfId="0" applyFont="1" applyBorder="1" applyAlignment="1">
      <alignment horizontal="center" wrapText="1"/>
    </xf>
    <xf numFmtId="0" fontId="19" fillId="0" borderId="47" xfId="0" applyFont="1" applyBorder="1" applyAlignment="1">
      <alignment horizontal="center" wrapText="1"/>
    </xf>
    <xf numFmtId="0" fontId="19" fillId="0" borderId="55" xfId="0" applyFont="1" applyBorder="1" applyAlignment="1">
      <alignment horizontal="center" wrapText="1"/>
    </xf>
    <xf numFmtId="0" fontId="18" fillId="0" borderId="57" xfId="0" applyFont="1" applyBorder="1" applyAlignment="1">
      <alignment horizontal="center" wrapText="1"/>
    </xf>
    <xf numFmtId="0" fontId="18" fillId="0" borderId="58" xfId="0" applyFont="1" applyBorder="1" applyAlignment="1">
      <alignment horizontal="center" wrapText="1"/>
    </xf>
    <xf numFmtId="1" fontId="0" fillId="0" borderId="31" xfId="0" applyNumberFormat="1" applyBorder="1" applyAlignment="1" applyProtection="1">
      <alignment horizontal="center" vertical="center"/>
      <protection locked="0"/>
    </xf>
    <xf numFmtId="0" fontId="0" fillId="0" borderId="60" xfId="0" applyBorder="1" applyAlignment="1" applyProtection="1">
      <alignment horizontal="center" wrapText="1"/>
    </xf>
    <xf numFmtId="0" fontId="0" fillId="0" borderId="44" xfId="0" applyBorder="1" applyAlignment="1" applyProtection="1">
      <alignment horizontal="center"/>
    </xf>
    <xf numFmtId="0" fontId="0" fillId="0" borderId="61" xfId="0" applyBorder="1" applyAlignment="1" applyProtection="1">
      <alignment horizontal="center"/>
    </xf>
    <xf numFmtId="0" fontId="20" fillId="0" borderId="62" xfId="0" applyFont="1" applyBorder="1" applyAlignment="1" applyProtection="1">
      <alignment horizontal="center"/>
      <protection locked="0"/>
    </xf>
    <xf numFmtId="0" fontId="20" fillId="0" borderId="63" xfId="0" applyFont="1" applyBorder="1" applyAlignment="1" applyProtection="1">
      <alignment horizontal="center"/>
      <protection locked="0"/>
    </xf>
    <xf numFmtId="0" fontId="22" fillId="0" borderId="0" xfId="0" applyFont="1" applyAlignment="1">
      <alignment vertical="center"/>
    </xf>
    <xf numFmtId="0" fontId="22" fillId="0" borderId="0" xfId="0" applyFont="1" applyAlignment="1">
      <alignment vertical="top"/>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6" fillId="0" borderId="0" xfId="0" applyFont="1" applyAlignment="1">
      <alignment horizontal="center" vertical="center"/>
    </xf>
    <xf numFmtId="0" fontId="16" fillId="0" borderId="37" xfId="0" applyFont="1" applyBorder="1" applyAlignment="1">
      <alignment horizontal="center" vertic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0" fillId="4" borderId="0" xfId="0" applyFill="1" applyBorder="1" applyAlignment="1">
      <alignment horizontal="left" vertical="top" wrapText="1"/>
    </xf>
    <xf numFmtId="0" fontId="0" fillId="4" borderId="23" xfId="0" applyFill="1" applyBorder="1" applyAlignment="1">
      <alignment horizontal="left" vertical="top" wrapText="1"/>
    </xf>
    <xf numFmtId="0" fontId="0" fillId="4" borderId="25" xfId="0" applyFill="1" applyBorder="1" applyAlignment="1">
      <alignment horizontal="left" vertical="top" wrapText="1"/>
    </xf>
    <xf numFmtId="0" fontId="0" fillId="4" borderId="26" xfId="0" applyFill="1" applyBorder="1" applyAlignment="1">
      <alignment horizontal="left" vertical="top" wrapText="1"/>
    </xf>
    <xf numFmtId="0" fontId="20" fillId="0" borderId="0" xfId="0" applyFont="1" applyAlignment="1">
      <alignment horizontal="center"/>
    </xf>
    <xf numFmtId="0" fontId="20" fillId="0" borderId="0" xfId="0" applyFont="1" applyBorder="1" applyAlignment="1">
      <alignment horizontal="center"/>
    </xf>
    <xf numFmtId="0" fontId="21" fillId="0" borderId="0" xfId="0" applyFont="1" applyAlignment="1">
      <alignment horizontal="center" vertical="center" wrapText="1"/>
    </xf>
    <xf numFmtId="0" fontId="12" fillId="4" borderId="20" xfId="0" applyFont="1" applyFill="1" applyBorder="1" applyAlignment="1">
      <alignment horizontal="left"/>
    </xf>
    <xf numFmtId="0" fontId="12" fillId="4" borderId="21" xfId="0" applyFont="1" applyFill="1" applyBorder="1" applyAlignment="1">
      <alignment horizontal="left"/>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18" fillId="0" borderId="46" xfId="0" applyFont="1" applyBorder="1" applyAlignment="1">
      <alignment horizontal="center"/>
    </xf>
    <xf numFmtId="0" fontId="18" fillId="0" borderId="56" xfId="0" applyFont="1" applyBorder="1" applyAlignment="1">
      <alignment horizontal="center"/>
    </xf>
    <xf numFmtId="0" fontId="18" fillId="0" borderId="3" xfId="0" applyFont="1" applyBorder="1" applyAlignment="1">
      <alignment horizontal="center" wrapText="1"/>
    </xf>
    <xf numFmtId="0" fontId="18" fillId="0" borderId="59" xfId="0" applyFont="1" applyBorder="1" applyAlignment="1">
      <alignment horizontal="center" wrapText="1"/>
    </xf>
    <xf numFmtId="0" fontId="0" fillId="0" borderId="25" xfId="0" applyBorder="1" applyAlignment="1">
      <alignment horizontal="left" wrapText="1"/>
    </xf>
    <xf numFmtId="0" fontId="18" fillId="0" borderId="48" xfId="0" applyFont="1" applyBorder="1" applyAlignment="1">
      <alignment horizontal="center" wrapText="1"/>
    </xf>
    <xf numFmtId="0" fontId="18" fillId="0" borderId="49" xfId="0" applyFont="1" applyBorder="1" applyAlignment="1">
      <alignment horizontal="center" wrapText="1"/>
    </xf>
    <xf numFmtId="0" fontId="19" fillId="0" borderId="43" xfId="0" applyFont="1" applyBorder="1" applyAlignment="1">
      <alignment horizontal="center"/>
    </xf>
    <xf numFmtId="0" fontId="19" fillId="0" borderId="29" xfId="0" applyFont="1" applyBorder="1" applyAlignment="1">
      <alignment horizontal="center"/>
    </xf>
    <xf numFmtId="0" fontId="19" fillId="0" borderId="51" xfId="0" applyFont="1" applyBorder="1" applyAlignment="1">
      <alignment horizont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52" xfId="0" applyFont="1" applyBorder="1" applyAlignment="1">
      <alignment horizontal="center" vertical="center" wrapText="1"/>
    </xf>
    <xf numFmtId="1" fontId="0" fillId="0" borderId="41" xfId="0" applyNumberFormat="1" applyBorder="1" applyAlignment="1" applyProtection="1">
      <alignment horizontal="center" vertical="center"/>
      <protection locked="0"/>
    </xf>
    <xf numFmtId="1" fontId="0" fillId="0" borderId="42" xfId="0" applyNumberFormat="1" applyBorder="1" applyAlignment="1" applyProtection="1">
      <alignment horizontal="center" vertical="center"/>
      <protection locked="0"/>
    </xf>
  </cellXfs>
  <cellStyles count="2">
    <cellStyle name="Link" xfId="1" builtinId="8"/>
    <cellStyle name="Standard" xfId="0" builtinId="0"/>
  </cellStyles>
  <dxfs count="18">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auto="1"/>
      </font>
    </dxf>
    <dxf>
      <font>
        <color auto="1"/>
      </font>
    </dxf>
    <dxf>
      <font>
        <color auto="1"/>
      </font>
    </dxf>
    <dxf>
      <font>
        <color auto="1"/>
      </font>
    </dxf>
    <dxf>
      <font>
        <color theme="1"/>
      </font>
    </dxf>
    <dxf>
      <font>
        <color theme="0"/>
      </font>
      <fill>
        <patternFill patternType="none">
          <bgColor auto="1"/>
        </patternFill>
      </fill>
    </dxf>
    <dxf>
      <fill>
        <patternFill>
          <bgColor theme="1" tint="0.499984740745262"/>
        </patternFill>
      </fill>
    </dxf>
    <dxf>
      <fill>
        <patternFill>
          <bgColor theme="1" tint="0.499984740745262"/>
        </patternFill>
      </fill>
    </dxf>
    <dxf>
      <font>
        <color rgb="FF9C0006"/>
      </font>
      <fill>
        <patternFill>
          <bgColor rgb="FFFFC7CE"/>
        </patternFill>
      </fill>
    </dxf>
    <dxf>
      <fill>
        <patternFill>
          <bgColor theme="9" tint="0.59996337778862885"/>
        </patternFill>
      </fill>
    </dxf>
    <dxf>
      <font>
        <b/>
        <i val="0"/>
        <color rgb="FFFF0000"/>
      </font>
    </dxf>
    <dxf>
      <font>
        <b/>
        <i val="0"/>
        <color rgb="FFFF0000"/>
      </font>
    </dxf>
    <dxf>
      <font>
        <color theme="1"/>
      </font>
    </dxf>
  </dxfs>
  <tableStyles count="0" defaultTableStyle="TableStyleMedium2" defaultPivotStyle="PivotStyleLight16"/>
  <colors>
    <mruColors>
      <color rgb="FF544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9"/>
          <c:order val="0"/>
          <c:tx>
            <c:strRef>
              <c:f>Berechnung!$K$19</c:f>
              <c:strCache>
                <c:ptCount val="1"/>
                <c:pt idx="0">
                  <c:v>5</c:v>
                </c:pt>
              </c:strCache>
            </c:strRef>
          </c:tx>
          <c:spPr>
            <a:solidFill>
              <a:schemeClr val="accent4">
                <a:lumMod val="60000"/>
              </a:schemeClr>
            </a:solidFill>
            <a:ln>
              <a:noFill/>
            </a:ln>
            <a:effectLst/>
          </c:spPr>
          <c:invertIfNegative val="0"/>
          <c:dPt>
            <c:idx val="1"/>
            <c:invertIfNegative val="0"/>
            <c:bubble3D val="0"/>
            <c:spPr>
              <a:pattFill prst="dkHorz">
                <a:fgClr>
                  <a:schemeClr val="bg1">
                    <a:lumMod val="75000"/>
                  </a:schemeClr>
                </a:fgClr>
                <a:bgClr>
                  <a:schemeClr val="bg1"/>
                </a:bgClr>
              </a:pattFill>
              <a:ln>
                <a:noFill/>
              </a:ln>
              <a:effectLst/>
            </c:spPr>
            <c:extLst>
              <c:ext xmlns:c16="http://schemas.microsoft.com/office/drawing/2014/chart" uri="{C3380CC4-5D6E-409C-BE32-E72D297353CC}">
                <c16:uniqueId val="{00000001-0993-44FC-8574-47D7D6EEC3C5}"/>
              </c:ext>
            </c:extLst>
          </c:dPt>
          <c:dPt>
            <c:idx val="3"/>
            <c:invertIfNegative val="0"/>
            <c:bubble3D val="0"/>
            <c:spPr>
              <a:pattFill prst="dkHorz">
                <a:fgClr>
                  <a:schemeClr val="bg1">
                    <a:lumMod val="75000"/>
                  </a:schemeClr>
                </a:fgClr>
                <a:bgClr>
                  <a:schemeClr val="bg1"/>
                </a:bgClr>
              </a:pattFill>
              <a:ln>
                <a:noFill/>
              </a:ln>
              <a:effectLst/>
            </c:spPr>
            <c:extLst>
              <c:ext xmlns:c16="http://schemas.microsoft.com/office/drawing/2014/chart" uri="{C3380CC4-5D6E-409C-BE32-E72D297353CC}">
                <c16:uniqueId val="{00000003-0993-44FC-8574-47D7D6EEC3C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Berechnung!$L$9:$O$9</c:f>
              <c:strCache>
                <c:ptCount val="4"/>
                <c:pt idx="0">
                  <c:v>Mächtigkeit der Horizonte in cm</c:v>
                </c:pt>
                <c:pt idx="1">
                  <c:v>Mächtigkeitsverlust in cm</c:v>
                </c:pt>
                <c:pt idx="2">
                  <c:v>nFK in mm je Horizont</c:v>
                </c:pt>
                <c:pt idx="3">
                  <c:v>nFK Verlust in mm</c:v>
                </c:pt>
              </c:strCache>
            </c:strRef>
          </c:cat>
          <c:val>
            <c:numRef>
              <c:f>Berechnung!$L$19:$O$19</c:f>
              <c:numCache>
                <c:formatCode>0</c:formatCode>
                <c:ptCount val="4"/>
                <c:pt idx="1">
                  <c:v>#N/A</c:v>
                </c:pt>
                <c:pt idx="3">
                  <c:v>#N/A</c:v>
                </c:pt>
              </c:numCache>
            </c:numRef>
          </c:val>
          <c:extLst>
            <c:ext xmlns:c16="http://schemas.microsoft.com/office/drawing/2014/chart" uri="{C3380CC4-5D6E-409C-BE32-E72D297353CC}">
              <c16:uniqueId val="{00000004-0993-44FC-8574-47D7D6EEC3C5}"/>
            </c:ext>
          </c:extLst>
        </c:ser>
        <c:ser>
          <c:idx val="8"/>
          <c:order val="1"/>
          <c:tx>
            <c:strRef>
              <c:f>Berechnung!$K$18</c:f>
              <c:strCache>
                <c:ptCount val="1"/>
                <c:pt idx="0">
                  <c:v>5</c:v>
                </c:pt>
              </c:strCache>
            </c:strRef>
          </c:tx>
          <c:spPr>
            <a:solidFill>
              <a:schemeClr val="accent3">
                <a:lumMod val="60000"/>
              </a:schemeClr>
            </a:solidFill>
            <a:ln>
              <a:noFill/>
            </a:ln>
            <a:effectLst/>
          </c:spPr>
          <c:invertIfNegative val="0"/>
          <c:dPt>
            <c:idx val="0"/>
            <c:invertIfNegative val="0"/>
            <c:bubble3D val="0"/>
            <c:spPr>
              <a:pattFill prst="dkHorz">
                <a:fgClr>
                  <a:schemeClr val="bg1">
                    <a:lumMod val="75000"/>
                  </a:schemeClr>
                </a:fgClr>
                <a:bgClr>
                  <a:schemeClr val="bg1"/>
                </a:bgClr>
              </a:pattFill>
              <a:ln>
                <a:noFill/>
              </a:ln>
              <a:effectLst/>
            </c:spPr>
            <c:extLst>
              <c:ext xmlns:c16="http://schemas.microsoft.com/office/drawing/2014/chart" uri="{C3380CC4-5D6E-409C-BE32-E72D297353CC}">
                <c16:uniqueId val="{00000006-0993-44FC-8574-47D7D6EEC3C5}"/>
              </c:ext>
            </c:extLst>
          </c:dPt>
          <c:dPt>
            <c:idx val="1"/>
            <c:invertIfNegative val="0"/>
            <c:bubble3D val="0"/>
            <c:spPr>
              <a:pattFill prst="ltHorz">
                <a:fgClr>
                  <a:srgbClr val="FF0000"/>
                </a:fgClr>
                <a:bgClr>
                  <a:schemeClr val="bg1"/>
                </a:bgClr>
              </a:pattFill>
              <a:ln>
                <a:noFill/>
              </a:ln>
              <a:effectLst/>
            </c:spPr>
            <c:extLst>
              <c:ext xmlns:c16="http://schemas.microsoft.com/office/drawing/2014/chart" uri="{C3380CC4-5D6E-409C-BE32-E72D297353CC}">
                <c16:uniqueId val="{00000008-0993-44FC-8574-47D7D6EEC3C5}"/>
              </c:ext>
            </c:extLst>
          </c:dPt>
          <c:dPt>
            <c:idx val="2"/>
            <c:invertIfNegative val="0"/>
            <c:bubble3D val="0"/>
            <c:spPr>
              <a:pattFill prst="dkHorz">
                <a:fgClr>
                  <a:schemeClr val="bg1">
                    <a:lumMod val="75000"/>
                  </a:schemeClr>
                </a:fgClr>
                <a:bgClr>
                  <a:schemeClr val="bg1"/>
                </a:bgClr>
              </a:pattFill>
              <a:ln>
                <a:noFill/>
              </a:ln>
              <a:effectLst/>
            </c:spPr>
            <c:extLst>
              <c:ext xmlns:c16="http://schemas.microsoft.com/office/drawing/2014/chart" uri="{C3380CC4-5D6E-409C-BE32-E72D297353CC}">
                <c16:uniqueId val="{0000000A-0993-44FC-8574-47D7D6EEC3C5}"/>
              </c:ext>
            </c:extLst>
          </c:dPt>
          <c:dPt>
            <c:idx val="3"/>
            <c:invertIfNegative val="0"/>
            <c:bubble3D val="0"/>
            <c:spPr>
              <a:pattFill prst="ltHorz">
                <a:fgClr>
                  <a:srgbClr val="FF0000"/>
                </a:fgClr>
                <a:bgClr>
                  <a:schemeClr val="bg1"/>
                </a:bgClr>
              </a:pattFill>
              <a:ln>
                <a:noFill/>
              </a:ln>
              <a:effectLst/>
            </c:spPr>
            <c:extLst>
              <c:ext xmlns:c16="http://schemas.microsoft.com/office/drawing/2014/chart" uri="{C3380CC4-5D6E-409C-BE32-E72D297353CC}">
                <c16:uniqueId val="{0000000C-0993-44FC-8574-47D7D6EEC3C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Berechnung!$L$9:$O$9</c:f>
              <c:strCache>
                <c:ptCount val="4"/>
                <c:pt idx="0">
                  <c:v>Mächtigkeit der Horizonte in cm</c:v>
                </c:pt>
                <c:pt idx="1">
                  <c:v>Mächtigkeitsverlust in cm</c:v>
                </c:pt>
                <c:pt idx="2">
                  <c:v>nFK in mm je Horizont</c:v>
                </c:pt>
                <c:pt idx="3">
                  <c:v>nFK Verlust in mm</c:v>
                </c:pt>
              </c:strCache>
            </c:strRef>
          </c:cat>
          <c:val>
            <c:numRef>
              <c:f>Berechnung!$L$18:$O$18</c:f>
              <c:numCache>
                <c:formatCode>0</c:formatCode>
                <c:ptCount val="4"/>
                <c:pt idx="0">
                  <c:v>#N/A</c:v>
                </c:pt>
                <c:pt idx="1">
                  <c:v>#N/A</c:v>
                </c:pt>
                <c:pt idx="2">
                  <c:v>#N/A</c:v>
                </c:pt>
                <c:pt idx="3">
                  <c:v>#N/A</c:v>
                </c:pt>
              </c:numCache>
            </c:numRef>
          </c:val>
          <c:extLst>
            <c:ext xmlns:c16="http://schemas.microsoft.com/office/drawing/2014/chart" uri="{C3380CC4-5D6E-409C-BE32-E72D297353CC}">
              <c16:uniqueId val="{0000000D-0993-44FC-8574-47D7D6EEC3C5}"/>
            </c:ext>
          </c:extLst>
        </c:ser>
        <c:ser>
          <c:idx val="7"/>
          <c:order val="2"/>
          <c:tx>
            <c:strRef>
              <c:f>Berechnung!$K$17</c:f>
              <c:strCache>
                <c:ptCount val="1"/>
                <c:pt idx="0">
                  <c:v>4</c:v>
                </c:pt>
              </c:strCache>
            </c:strRef>
          </c:tx>
          <c:spPr>
            <a:solidFill>
              <a:schemeClr val="accent2">
                <a:lumMod val="60000"/>
              </a:schemeClr>
            </a:solidFill>
            <a:ln>
              <a:noFill/>
            </a:ln>
            <a:effectLst/>
          </c:spPr>
          <c:invertIfNegative val="0"/>
          <c:dPt>
            <c:idx val="1"/>
            <c:invertIfNegative val="0"/>
            <c:bubble3D val="0"/>
            <c:spPr>
              <a:solidFill>
                <a:schemeClr val="accent4"/>
              </a:solidFill>
              <a:ln>
                <a:noFill/>
              </a:ln>
              <a:effectLst/>
            </c:spPr>
            <c:extLst>
              <c:ext xmlns:c16="http://schemas.microsoft.com/office/drawing/2014/chart" uri="{C3380CC4-5D6E-409C-BE32-E72D297353CC}">
                <c16:uniqueId val="{0000000F-0993-44FC-8574-47D7D6EEC3C5}"/>
              </c:ext>
            </c:extLst>
          </c:dPt>
          <c:dPt>
            <c:idx val="3"/>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11-0993-44FC-8574-47D7D6EEC3C5}"/>
              </c:ext>
            </c:extLst>
          </c:dPt>
          <c:dLbls>
            <c: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de-DE"/>
                </a:p>
              </c:txPr>
              <c:dLblPos val="ctr"/>
              <c:showLegendKey val="0"/>
              <c:showVal val="1"/>
              <c:showCatName val="0"/>
              <c:showSerName val="0"/>
              <c:showPercent val="0"/>
              <c:showBubbleSize val="0"/>
              <c:extLst>
                <c:ext xmlns:c16="http://schemas.microsoft.com/office/drawing/2014/chart" uri="{C3380CC4-5D6E-409C-BE32-E72D297353CC}">
                  <c16:uniqueId val="{0000000F-0993-44FC-8574-47D7D6EEC3C5}"/>
                </c:ext>
              </c:extLst>
            </c:dLbl>
            <c:dLbl>
              <c:idx val="3"/>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de-DE"/>
                </a:p>
              </c:txPr>
              <c:dLblPos val="ctr"/>
              <c:showLegendKey val="0"/>
              <c:showVal val="1"/>
              <c:showCatName val="0"/>
              <c:showSerName val="0"/>
              <c:showPercent val="0"/>
              <c:showBubbleSize val="0"/>
              <c:extLst>
                <c:ext xmlns:c16="http://schemas.microsoft.com/office/drawing/2014/chart" uri="{C3380CC4-5D6E-409C-BE32-E72D297353CC}">
                  <c16:uniqueId val="{00000011-0993-44FC-8574-47D7D6EEC3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Berechnung!$L$9:$O$9</c:f>
              <c:strCache>
                <c:ptCount val="4"/>
                <c:pt idx="0">
                  <c:v>Mächtigkeit der Horizonte in cm</c:v>
                </c:pt>
                <c:pt idx="1">
                  <c:v>Mächtigkeitsverlust in cm</c:v>
                </c:pt>
                <c:pt idx="2">
                  <c:v>nFK in mm je Horizont</c:v>
                </c:pt>
                <c:pt idx="3">
                  <c:v>nFK Verlust in mm</c:v>
                </c:pt>
              </c:strCache>
            </c:strRef>
          </c:cat>
          <c:val>
            <c:numRef>
              <c:f>Berechnung!$L$17:$O$17</c:f>
              <c:numCache>
                <c:formatCode>0</c:formatCode>
                <c:ptCount val="4"/>
                <c:pt idx="1">
                  <c:v>#N/A</c:v>
                </c:pt>
                <c:pt idx="3">
                  <c:v>#N/A</c:v>
                </c:pt>
              </c:numCache>
            </c:numRef>
          </c:val>
          <c:extLst>
            <c:ext xmlns:c16="http://schemas.microsoft.com/office/drawing/2014/chart" uri="{C3380CC4-5D6E-409C-BE32-E72D297353CC}">
              <c16:uniqueId val="{00000012-0993-44FC-8574-47D7D6EEC3C5}"/>
            </c:ext>
          </c:extLst>
        </c:ser>
        <c:ser>
          <c:idx val="6"/>
          <c:order val="3"/>
          <c:tx>
            <c:strRef>
              <c:f>Berechnung!$K$16</c:f>
              <c:strCache>
                <c:ptCount val="1"/>
                <c:pt idx="0">
                  <c:v>4</c:v>
                </c:pt>
              </c:strCache>
            </c:strRef>
          </c:tx>
          <c:spPr>
            <a:solidFill>
              <a:schemeClr val="accent1">
                <a:lumMod val="60000"/>
              </a:schemeClr>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14-0993-44FC-8574-47D7D6EEC3C5}"/>
              </c:ext>
            </c:extLst>
          </c:dPt>
          <c:dPt>
            <c:idx val="1"/>
            <c:invertIfNegative val="0"/>
            <c:bubble3D val="0"/>
            <c:spPr>
              <a:pattFill prst="ltHorz">
                <a:fgClr>
                  <a:srgbClr val="FF0000"/>
                </a:fgClr>
                <a:bgClr>
                  <a:schemeClr val="bg1"/>
                </a:bgClr>
              </a:pattFill>
              <a:ln>
                <a:noFill/>
              </a:ln>
              <a:effectLst/>
            </c:spPr>
            <c:extLst>
              <c:ext xmlns:c16="http://schemas.microsoft.com/office/drawing/2014/chart" uri="{C3380CC4-5D6E-409C-BE32-E72D297353CC}">
                <c16:uniqueId val="{00000016-0993-44FC-8574-47D7D6EEC3C5}"/>
              </c:ext>
            </c:extLst>
          </c:dPt>
          <c:dPt>
            <c:idx val="2"/>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18-0993-44FC-8574-47D7D6EEC3C5}"/>
              </c:ext>
            </c:extLst>
          </c:dPt>
          <c:dPt>
            <c:idx val="3"/>
            <c:invertIfNegative val="0"/>
            <c:bubble3D val="0"/>
            <c:spPr>
              <a:pattFill prst="ltHorz">
                <a:fgClr>
                  <a:srgbClr val="FF0000"/>
                </a:fgClr>
                <a:bgClr>
                  <a:schemeClr val="bg1"/>
                </a:bgClr>
              </a:pattFill>
              <a:ln>
                <a:noFill/>
              </a:ln>
              <a:effectLst/>
            </c:spPr>
            <c:extLst>
              <c:ext xmlns:c16="http://schemas.microsoft.com/office/drawing/2014/chart" uri="{C3380CC4-5D6E-409C-BE32-E72D297353CC}">
                <c16:uniqueId val="{0000001A-0993-44FC-8574-47D7D6EEC3C5}"/>
              </c:ext>
            </c:extLst>
          </c:dPt>
          <c:dLbls>
            <c:dLbl>
              <c:idx val="1"/>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de-DE"/>
                </a:p>
              </c:txPr>
              <c:dLblPos val="ctr"/>
              <c:showLegendKey val="0"/>
              <c:showVal val="1"/>
              <c:showCatName val="0"/>
              <c:showSerName val="0"/>
              <c:showPercent val="0"/>
              <c:showBubbleSize val="0"/>
              <c:extLst>
                <c:ext xmlns:c16="http://schemas.microsoft.com/office/drawing/2014/chart" uri="{C3380CC4-5D6E-409C-BE32-E72D297353CC}">
                  <c16:uniqueId val="{00000016-0993-44FC-8574-47D7D6EEC3C5}"/>
                </c:ext>
              </c:extLst>
            </c:dLbl>
            <c:dLbl>
              <c:idx val="3"/>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de-DE"/>
                </a:p>
              </c:txPr>
              <c:dLblPos val="ctr"/>
              <c:showLegendKey val="0"/>
              <c:showVal val="1"/>
              <c:showCatName val="0"/>
              <c:showSerName val="0"/>
              <c:showPercent val="0"/>
              <c:showBubbleSize val="0"/>
              <c:extLst>
                <c:ext xmlns:c16="http://schemas.microsoft.com/office/drawing/2014/chart" uri="{C3380CC4-5D6E-409C-BE32-E72D297353CC}">
                  <c16:uniqueId val="{0000001A-0993-44FC-8574-47D7D6EEC3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Berechnung!$L$9:$O$9</c:f>
              <c:strCache>
                <c:ptCount val="4"/>
                <c:pt idx="0">
                  <c:v>Mächtigkeit der Horizonte in cm</c:v>
                </c:pt>
                <c:pt idx="1">
                  <c:v>Mächtigkeitsverlust in cm</c:v>
                </c:pt>
                <c:pt idx="2">
                  <c:v>nFK in mm je Horizont</c:v>
                </c:pt>
                <c:pt idx="3">
                  <c:v>nFK Verlust in mm</c:v>
                </c:pt>
              </c:strCache>
            </c:strRef>
          </c:cat>
          <c:val>
            <c:numRef>
              <c:f>Berechnung!$L$16:$O$16</c:f>
              <c:numCache>
                <c:formatCode>0</c:formatCode>
                <c:ptCount val="4"/>
                <c:pt idx="0">
                  <c:v>#N/A</c:v>
                </c:pt>
                <c:pt idx="1">
                  <c:v>#N/A</c:v>
                </c:pt>
                <c:pt idx="2">
                  <c:v>#N/A</c:v>
                </c:pt>
                <c:pt idx="3">
                  <c:v>#N/A</c:v>
                </c:pt>
              </c:numCache>
            </c:numRef>
          </c:val>
          <c:extLst>
            <c:ext xmlns:c16="http://schemas.microsoft.com/office/drawing/2014/chart" uri="{C3380CC4-5D6E-409C-BE32-E72D297353CC}">
              <c16:uniqueId val="{0000001B-0993-44FC-8574-47D7D6EEC3C5}"/>
            </c:ext>
          </c:extLst>
        </c:ser>
        <c:ser>
          <c:idx val="5"/>
          <c:order val="4"/>
          <c:tx>
            <c:strRef>
              <c:f>Berechnung!$K$15</c:f>
              <c:strCache>
                <c:ptCount val="1"/>
                <c:pt idx="0">
                  <c:v>3</c:v>
                </c:pt>
              </c:strCache>
            </c:strRef>
          </c:tx>
          <c:spPr>
            <a:solidFill>
              <a:schemeClr val="accent6"/>
            </a:solidFill>
            <a:ln>
              <a:noFill/>
            </a:ln>
            <a:effectLst/>
          </c:spPr>
          <c:invertIfNegative val="0"/>
          <c:dPt>
            <c:idx val="1"/>
            <c:invertIfNegative val="0"/>
            <c:bubble3D val="0"/>
            <c:spPr>
              <a:solidFill>
                <a:schemeClr val="accent4">
                  <a:lumMod val="75000"/>
                </a:schemeClr>
              </a:solidFill>
              <a:ln>
                <a:noFill/>
              </a:ln>
              <a:effectLst/>
            </c:spPr>
            <c:extLst>
              <c:ext xmlns:c16="http://schemas.microsoft.com/office/drawing/2014/chart" uri="{C3380CC4-5D6E-409C-BE32-E72D297353CC}">
                <c16:uniqueId val="{0000001D-0993-44FC-8574-47D7D6EEC3C5}"/>
              </c:ext>
            </c:extLst>
          </c:dPt>
          <c:dPt>
            <c:idx val="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F-0993-44FC-8574-47D7D6EEC3C5}"/>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alpha val="0"/>
                        </a:schemeClr>
                      </a:solidFill>
                      <a:latin typeface="+mn-lt"/>
                      <a:ea typeface="+mn-ea"/>
                      <a:cs typeface="+mn-cs"/>
                    </a:defRPr>
                  </a:pPr>
                  <a:endParaRPr lang="de-DE"/>
                </a:p>
              </c:txPr>
              <c:dLblPos val="ctr"/>
              <c:showLegendKey val="0"/>
              <c:showVal val="1"/>
              <c:showCatName val="0"/>
              <c:showSerName val="0"/>
              <c:showPercent val="0"/>
              <c:showBubbleSize val="0"/>
              <c:extLst>
                <c:ext xmlns:c16="http://schemas.microsoft.com/office/drawing/2014/chart" uri="{C3380CC4-5D6E-409C-BE32-E72D297353CC}">
                  <c16:uniqueId val="{00000020-0993-44FC-8574-47D7D6EEC3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Berechnung!$L$9:$O$9</c:f>
              <c:strCache>
                <c:ptCount val="4"/>
                <c:pt idx="0">
                  <c:v>Mächtigkeit der Horizonte in cm</c:v>
                </c:pt>
                <c:pt idx="1">
                  <c:v>Mächtigkeitsverlust in cm</c:v>
                </c:pt>
                <c:pt idx="2">
                  <c:v>nFK in mm je Horizont</c:v>
                </c:pt>
                <c:pt idx="3">
                  <c:v>nFK Verlust in mm</c:v>
                </c:pt>
              </c:strCache>
            </c:strRef>
          </c:cat>
          <c:val>
            <c:numRef>
              <c:f>Berechnung!$L$15:$O$15</c:f>
              <c:numCache>
                <c:formatCode>0</c:formatCode>
                <c:ptCount val="4"/>
                <c:pt idx="1">
                  <c:v>#N/A</c:v>
                </c:pt>
                <c:pt idx="3">
                  <c:v>#N/A</c:v>
                </c:pt>
              </c:numCache>
            </c:numRef>
          </c:val>
          <c:extLst>
            <c:ext xmlns:c16="http://schemas.microsoft.com/office/drawing/2014/chart" uri="{C3380CC4-5D6E-409C-BE32-E72D297353CC}">
              <c16:uniqueId val="{00000021-0993-44FC-8574-47D7D6EEC3C5}"/>
            </c:ext>
          </c:extLst>
        </c:ser>
        <c:ser>
          <c:idx val="4"/>
          <c:order val="5"/>
          <c:tx>
            <c:strRef>
              <c:f>Berechnung!$K$14</c:f>
              <c:strCache>
                <c:ptCount val="1"/>
                <c:pt idx="0">
                  <c:v>3</c:v>
                </c:pt>
              </c:strCache>
            </c:strRef>
          </c:tx>
          <c:spPr>
            <a:solidFill>
              <a:schemeClr val="accent5"/>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23-0993-44FC-8574-47D7D6EEC3C5}"/>
              </c:ext>
            </c:extLst>
          </c:dPt>
          <c:dPt>
            <c:idx val="1"/>
            <c:invertIfNegative val="0"/>
            <c:bubble3D val="0"/>
            <c:spPr>
              <a:pattFill prst="ltHorz">
                <a:fgClr>
                  <a:srgbClr val="FF0000"/>
                </a:fgClr>
                <a:bgClr>
                  <a:schemeClr val="bg1"/>
                </a:bgClr>
              </a:pattFill>
              <a:ln>
                <a:noFill/>
              </a:ln>
              <a:effectLst/>
            </c:spPr>
            <c:extLst>
              <c:ext xmlns:c16="http://schemas.microsoft.com/office/drawing/2014/chart" uri="{C3380CC4-5D6E-409C-BE32-E72D297353CC}">
                <c16:uniqueId val="{00000025-0993-44FC-8574-47D7D6EEC3C5}"/>
              </c:ext>
            </c:extLst>
          </c:dPt>
          <c:dPt>
            <c:idx val="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27-0993-44FC-8574-47D7D6EEC3C5}"/>
              </c:ext>
            </c:extLst>
          </c:dPt>
          <c:dPt>
            <c:idx val="3"/>
            <c:invertIfNegative val="0"/>
            <c:bubble3D val="0"/>
            <c:spPr>
              <a:pattFill prst="ltHorz">
                <a:fgClr>
                  <a:srgbClr val="FF0000"/>
                </a:fgClr>
                <a:bgClr>
                  <a:schemeClr val="bg1"/>
                </a:bgClr>
              </a:pattFill>
              <a:ln>
                <a:noFill/>
              </a:ln>
              <a:effectLst/>
            </c:spPr>
            <c:extLst>
              <c:ext xmlns:c16="http://schemas.microsoft.com/office/drawing/2014/chart" uri="{C3380CC4-5D6E-409C-BE32-E72D297353CC}">
                <c16:uniqueId val="{00000029-0993-44FC-8574-47D7D6EEC3C5}"/>
              </c:ext>
            </c:extLst>
          </c:dPt>
          <c:dLbls>
            <c:dLbl>
              <c:idx val="1"/>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de-DE"/>
                </a:p>
              </c:txPr>
              <c:dLblPos val="ctr"/>
              <c:showLegendKey val="0"/>
              <c:showVal val="1"/>
              <c:showCatName val="0"/>
              <c:showSerName val="0"/>
              <c:showPercent val="0"/>
              <c:showBubbleSize val="0"/>
              <c:extLst>
                <c:ext xmlns:c16="http://schemas.microsoft.com/office/drawing/2014/chart" uri="{C3380CC4-5D6E-409C-BE32-E72D297353CC}">
                  <c16:uniqueId val="{00000025-0993-44FC-8574-47D7D6EEC3C5}"/>
                </c:ext>
              </c:extLst>
            </c:dLbl>
            <c:dLbl>
              <c:idx val="3"/>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de-DE"/>
                </a:p>
              </c:txPr>
              <c:dLblPos val="ctr"/>
              <c:showLegendKey val="0"/>
              <c:showVal val="1"/>
              <c:showCatName val="0"/>
              <c:showSerName val="0"/>
              <c:showPercent val="0"/>
              <c:showBubbleSize val="0"/>
              <c:extLst>
                <c:ext xmlns:c16="http://schemas.microsoft.com/office/drawing/2014/chart" uri="{C3380CC4-5D6E-409C-BE32-E72D297353CC}">
                  <c16:uniqueId val="{00000029-0993-44FC-8574-47D7D6EEC3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Berechnung!$L$9:$O$9</c:f>
              <c:strCache>
                <c:ptCount val="4"/>
                <c:pt idx="0">
                  <c:v>Mächtigkeit der Horizonte in cm</c:v>
                </c:pt>
                <c:pt idx="1">
                  <c:v>Mächtigkeitsverlust in cm</c:v>
                </c:pt>
                <c:pt idx="2">
                  <c:v>nFK in mm je Horizont</c:v>
                </c:pt>
                <c:pt idx="3">
                  <c:v>nFK Verlust in mm</c:v>
                </c:pt>
              </c:strCache>
            </c:strRef>
          </c:cat>
          <c:val>
            <c:numRef>
              <c:f>Berechnung!$L$14:$O$14</c:f>
              <c:numCache>
                <c:formatCode>0</c:formatCode>
                <c:ptCount val="4"/>
                <c:pt idx="0">
                  <c:v>#N/A</c:v>
                </c:pt>
                <c:pt idx="1">
                  <c:v>#N/A</c:v>
                </c:pt>
                <c:pt idx="2">
                  <c:v>#N/A</c:v>
                </c:pt>
                <c:pt idx="3">
                  <c:v>#N/A</c:v>
                </c:pt>
              </c:numCache>
            </c:numRef>
          </c:val>
          <c:extLst>
            <c:ext xmlns:c16="http://schemas.microsoft.com/office/drawing/2014/chart" uri="{C3380CC4-5D6E-409C-BE32-E72D297353CC}">
              <c16:uniqueId val="{0000002A-0993-44FC-8574-47D7D6EEC3C5}"/>
            </c:ext>
          </c:extLst>
        </c:ser>
        <c:ser>
          <c:idx val="3"/>
          <c:order val="6"/>
          <c:tx>
            <c:strRef>
              <c:f>Berechnung!$K$13</c:f>
              <c:strCache>
                <c:ptCount val="1"/>
                <c:pt idx="0">
                  <c:v>2</c:v>
                </c:pt>
              </c:strCache>
            </c:strRef>
          </c:tx>
          <c:spPr>
            <a:solidFill>
              <a:schemeClr val="accent4">
                <a:lumMod val="50000"/>
              </a:schemeClr>
            </a:solidFill>
            <a:ln>
              <a:noFill/>
            </a:ln>
            <a:effectLst/>
          </c:spPr>
          <c:invertIfNegative val="0"/>
          <c:dPt>
            <c:idx val="3"/>
            <c:invertIfNegative val="0"/>
            <c:bubble3D val="0"/>
            <c:spPr>
              <a:solidFill>
                <a:schemeClr val="accent1">
                  <a:lumMod val="75000"/>
                </a:schemeClr>
              </a:solidFill>
              <a:ln>
                <a:noFill/>
              </a:ln>
              <a:effectLst/>
            </c:spPr>
            <c:extLst>
              <c:ext xmlns:c16="http://schemas.microsoft.com/office/drawing/2014/chart" uri="{C3380CC4-5D6E-409C-BE32-E72D297353CC}">
                <c16:uniqueId val="{0000002C-0993-44FC-8574-47D7D6EEC3C5}"/>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alpha val="0"/>
                        </a:schemeClr>
                      </a:solidFill>
                      <a:latin typeface="+mn-lt"/>
                      <a:ea typeface="+mn-ea"/>
                      <a:cs typeface="+mn-cs"/>
                    </a:defRPr>
                  </a:pPr>
                  <a:endParaRPr lang="de-DE"/>
                </a:p>
              </c:txPr>
              <c:dLblPos val="ctr"/>
              <c:showLegendKey val="0"/>
              <c:showVal val="1"/>
              <c:showCatName val="0"/>
              <c:showSerName val="0"/>
              <c:showPercent val="0"/>
              <c:showBubbleSize val="0"/>
              <c:extLst>
                <c:ext xmlns:c16="http://schemas.microsoft.com/office/drawing/2014/chart" uri="{C3380CC4-5D6E-409C-BE32-E72D297353CC}">
                  <c16:uniqueId val="{0000002D-0993-44FC-8574-47D7D6EEC3C5}"/>
                </c:ext>
              </c:extLst>
            </c:dLbl>
            <c:dLbl>
              <c:idx val="2"/>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alpha val="0"/>
                        </a:schemeClr>
                      </a:solidFill>
                      <a:latin typeface="+mn-lt"/>
                      <a:ea typeface="+mn-ea"/>
                      <a:cs typeface="+mn-cs"/>
                    </a:defRPr>
                  </a:pPr>
                  <a:endParaRPr lang="de-DE"/>
                </a:p>
              </c:txPr>
              <c:dLblPos val="ctr"/>
              <c:showLegendKey val="0"/>
              <c:showVal val="1"/>
              <c:showCatName val="0"/>
              <c:showSerName val="0"/>
              <c:showPercent val="0"/>
              <c:showBubbleSize val="0"/>
              <c:extLst>
                <c:ext xmlns:c16="http://schemas.microsoft.com/office/drawing/2014/chart" uri="{C3380CC4-5D6E-409C-BE32-E72D297353CC}">
                  <c16:uniqueId val="{0000002E-0993-44FC-8574-47D7D6EEC3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Berechnung!$L$9:$O$9</c:f>
              <c:strCache>
                <c:ptCount val="4"/>
                <c:pt idx="0">
                  <c:v>Mächtigkeit der Horizonte in cm</c:v>
                </c:pt>
                <c:pt idx="1">
                  <c:v>Mächtigkeitsverlust in cm</c:v>
                </c:pt>
                <c:pt idx="2">
                  <c:v>nFK in mm je Horizont</c:v>
                </c:pt>
                <c:pt idx="3">
                  <c:v>nFK Verlust in mm</c:v>
                </c:pt>
              </c:strCache>
            </c:strRef>
          </c:cat>
          <c:val>
            <c:numRef>
              <c:f>Berechnung!$L$13:$O$13</c:f>
              <c:numCache>
                <c:formatCode>0</c:formatCode>
                <c:ptCount val="4"/>
                <c:pt idx="1">
                  <c:v>#N/A</c:v>
                </c:pt>
                <c:pt idx="3">
                  <c:v>#N/A</c:v>
                </c:pt>
              </c:numCache>
            </c:numRef>
          </c:val>
          <c:extLst>
            <c:ext xmlns:c16="http://schemas.microsoft.com/office/drawing/2014/chart" uri="{C3380CC4-5D6E-409C-BE32-E72D297353CC}">
              <c16:uniqueId val="{0000002F-0993-44FC-8574-47D7D6EEC3C5}"/>
            </c:ext>
          </c:extLst>
        </c:ser>
        <c:ser>
          <c:idx val="2"/>
          <c:order val="7"/>
          <c:tx>
            <c:strRef>
              <c:f>Berechnung!$K$12</c:f>
              <c:strCache>
                <c:ptCount val="1"/>
                <c:pt idx="0">
                  <c:v>2</c:v>
                </c:pt>
              </c:strCache>
            </c:strRef>
          </c:tx>
          <c:spPr>
            <a:solidFill>
              <a:schemeClr val="accent3"/>
            </a:solidFill>
            <a:ln>
              <a:noFill/>
            </a:ln>
            <a:effectLst/>
          </c:spPr>
          <c:invertIfNegative val="0"/>
          <c:dPt>
            <c:idx val="0"/>
            <c:invertIfNegative val="0"/>
            <c:bubble3D val="0"/>
            <c:spPr>
              <a:solidFill>
                <a:schemeClr val="accent4">
                  <a:lumMod val="50000"/>
                </a:schemeClr>
              </a:solidFill>
              <a:ln>
                <a:noFill/>
              </a:ln>
              <a:effectLst/>
            </c:spPr>
            <c:extLst>
              <c:ext xmlns:c16="http://schemas.microsoft.com/office/drawing/2014/chart" uri="{C3380CC4-5D6E-409C-BE32-E72D297353CC}">
                <c16:uniqueId val="{00000031-0993-44FC-8574-47D7D6EEC3C5}"/>
              </c:ext>
            </c:extLst>
          </c:dPt>
          <c:dPt>
            <c:idx val="1"/>
            <c:invertIfNegative val="0"/>
            <c:bubble3D val="0"/>
            <c:spPr>
              <a:pattFill prst="ltHorz">
                <a:fgClr>
                  <a:srgbClr val="FF0000"/>
                </a:fgClr>
                <a:bgClr>
                  <a:schemeClr val="bg1"/>
                </a:bgClr>
              </a:pattFill>
              <a:ln>
                <a:solidFill>
                  <a:schemeClr val="tx1"/>
                </a:solidFill>
              </a:ln>
              <a:effectLst/>
            </c:spPr>
            <c:extLst>
              <c:ext xmlns:c16="http://schemas.microsoft.com/office/drawing/2014/chart" uri="{C3380CC4-5D6E-409C-BE32-E72D297353CC}">
                <c16:uniqueId val="{00000033-0993-44FC-8574-47D7D6EEC3C5}"/>
              </c:ext>
            </c:extLst>
          </c:dPt>
          <c:dPt>
            <c:idx val="2"/>
            <c:invertIfNegative val="0"/>
            <c:bubble3D val="0"/>
            <c:spPr>
              <a:solidFill>
                <a:schemeClr val="accent1">
                  <a:lumMod val="75000"/>
                </a:schemeClr>
              </a:solidFill>
              <a:ln>
                <a:noFill/>
              </a:ln>
              <a:effectLst/>
            </c:spPr>
            <c:extLst>
              <c:ext xmlns:c16="http://schemas.microsoft.com/office/drawing/2014/chart" uri="{C3380CC4-5D6E-409C-BE32-E72D297353CC}">
                <c16:uniqueId val="{00000035-0993-44FC-8574-47D7D6EEC3C5}"/>
              </c:ext>
            </c:extLst>
          </c:dPt>
          <c:dPt>
            <c:idx val="3"/>
            <c:invertIfNegative val="0"/>
            <c:bubble3D val="0"/>
            <c:spPr>
              <a:pattFill prst="ltHorz">
                <a:fgClr>
                  <a:srgbClr val="FF0000"/>
                </a:fgClr>
                <a:bgClr>
                  <a:schemeClr val="bg1"/>
                </a:bgClr>
              </a:pattFill>
              <a:ln>
                <a:solidFill>
                  <a:schemeClr val="tx1"/>
                </a:solidFill>
              </a:ln>
              <a:effectLst/>
            </c:spPr>
            <c:extLst>
              <c:ext xmlns:c16="http://schemas.microsoft.com/office/drawing/2014/chart" uri="{C3380CC4-5D6E-409C-BE32-E72D297353CC}">
                <c16:uniqueId val="{00000037-0993-44FC-8574-47D7D6EEC3C5}"/>
              </c:ext>
            </c:extLst>
          </c:dPt>
          <c:dLbls>
            <c:dLbl>
              <c:idx val="1"/>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de-DE"/>
                </a:p>
              </c:txPr>
              <c:dLblPos val="ctr"/>
              <c:showLegendKey val="0"/>
              <c:showVal val="1"/>
              <c:showCatName val="0"/>
              <c:showSerName val="0"/>
              <c:showPercent val="0"/>
              <c:showBubbleSize val="0"/>
              <c:extLst>
                <c:ext xmlns:c16="http://schemas.microsoft.com/office/drawing/2014/chart" uri="{C3380CC4-5D6E-409C-BE32-E72D297353CC}">
                  <c16:uniqueId val="{00000033-0993-44FC-8574-47D7D6EEC3C5}"/>
                </c:ext>
              </c:extLst>
            </c:dLbl>
            <c:dLbl>
              <c:idx val="3"/>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de-DE"/>
                </a:p>
              </c:txPr>
              <c:dLblPos val="ctr"/>
              <c:showLegendKey val="0"/>
              <c:showVal val="1"/>
              <c:showCatName val="0"/>
              <c:showSerName val="0"/>
              <c:showPercent val="0"/>
              <c:showBubbleSize val="0"/>
              <c:extLst>
                <c:ext xmlns:c16="http://schemas.microsoft.com/office/drawing/2014/chart" uri="{C3380CC4-5D6E-409C-BE32-E72D297353CC}">
                  <c16:uniqueId val="{00000037-0993-44FC-8574-47D7D6EEC3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Berechnung!$L$9:$O$9</c:f>
              <c:strCache>
                <c:ptCount val="4"/>
                <c:pt idx="0">
                  <c:v>Mächtigkeit der Horizonte in cm</c:v>
                </c:pt>
                <c:pt idx="1">
                  <c:v>Mächtigkeitsverlust in cm</c:v>
                </c:pt>
                <c:pt idx="2">
                  <c:v>nFK in mm je Horizont</c:v>
                </c:pt>
                <c:pt idx="3">
                  <c:v>nFK Verlust in mm</c:v>
                </c:pt>
              </c:strCache>
            </c:strRef>
          </c:cat>
          <c:val>
            <c:numRef>
              <c:f>Berechnung!$L$12:$O$12</c:f>
              <c:numCache>
                <c:formatCode>0</c:formatCode>
                <c:ptCount val="4"/>
                <c:pt idx="0">
                  <c:v>#N/A</c:v>
                </c:pt>
                <c:pt idx="1">
                  <c:v>#N/A</c:v>
                </c:pt>
                <c:pt idx="2">
                  <c:v>#N/A</c:v>
                </c:pt>
                <c:pt idx="3">
                  <c:v>0</c:v>
                </c:pt>
              </c:numCache>
            </c:numRef>
          </c:val>
          <c:extLst>
            <c:ext xmlns:c16="http://schemas.microsoft.com/office/drawing/2014/chart" uri="{C3380CC4-5D6E-409C-BE32-E72D297353CC}">
              <c16:uniqueId val="{00000038-0993-44FC-8574-47D7D6EEC3C5}"/>
            </c:ext>
          </c:extLst>
        </c:ser>
        <c:ser>
          <c:idx val="1"/>
          <c:order val="8"/>
          <c:tx>
            <c:strRef>
              <c:f>Berechnung!$K$11</c:f>
              <c:strCache>
                <c:ptCount val="1"/>
                <c:pt idx="0">
                  <c:v>1</c:v>
                </c:pt>
              </c:strCache>
            </c:strRef>
          </c:tx>
          <c:spPr>
            <a:solidFill>
              <a:srgbClr val="544000"/>
            </a:solidFill>
            <a:ln>
              <a:noFill/>
            </a:ln>
            <a:effectLst/>
          </c:spPr>
          <c:invertIfNegative val="0"/>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3A-0993-44FC-8574-47D7D6EEC3C5}"/>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alpha val="0"/>
                        </a:schemeClr>
                      </a:solidFill>
                      <a:latin typeface="+mn-lt"/>
                      <a:ea typeface="+mn-ea"/>
                      <a:cs typeface="+mn-cs"/>
                    </a:defRPr>
                  </a:pPr>
                  <a:endParaRPr lang="de-DE"/>
                </a:p>
              </c:txPr>
              <c:dLblPos val="ctr"/>
              <c:showLegendKey val="0"/>
              <c:showVal val="1"/>
              <c:showCatName val="0"/>
              <c:showSerName val="0"/>
              <c:showPercent val="0"/>
              <c:showBubbleSize val="0"/>
              <c:extLst>
                <c:ext xmlns:c16="http://schemas.microsoft.com/office/drawing/2014/chart" uri="{C3380CC4-5D6E-409C-BE32-E72D297353CC}">
                  <c16:uniqueId val="{0000003B-0993-44FC-8574-47D7D6EEC3C5}"/>
                </c:ext>
              </c:extLst>
            </c:dLbl>
            <c:dLbl>
              <c:idx val="2"/>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alpha val="0"/>
                        </a:schemeClr>
                      </a:solidFill>
                      <a:latin typeface="+mn-lt"/>
                      <a:ea typeface="+mn-ea"/>
                      <a:cs typeface="+mn-cs"/>
                    </a:defRPr>
                  </a:pPr>
                  <a:endParaRPr lang="de-DE"/>
                </a:p>
              </c:txPr>
              <c:dLblPos val="ctr"/>
              <c:showLegendKey val="0"/>
              <c:showVal val="1"/>
              <c:showCatName val="0"/>
              <c:showSerName val="0"/>
              <c:showPercent val="0"/>
              <c:showBubbleSize val="0"/>
              <c:extLst>
                <c:ext xmlns:c16="http://schemas.microsoft.com/office/drawing/2014/chart" uri="{C3380CC4-5D6E-409C-BE32-E72D297353CC}">
                  <c16:uniqueId val="{0000003C-0993-44FC-8574-47D7D6EEC3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Berechnung!$L$9:$O$9</c:f>
              <c:strCache>
                <c:ptCount val="4"/>
                <c:pt idx="0">
                  <c:v>Mächtigkeit der Horizonte in cm</c:v>
                </c:pt>
                <c:pt idx="1">
                  <c:v>Mächtigkeitsverlust in cm</c:v>
                </c:pt>
                <c:pt idx="2">
                  <c:v>nFK in mm je Horizont</c:v>
                </c:pt>
                <c:pt idx="3">
                  <c:v>nFK Verlust in mm</c:v>
                </c:pt>
              </c:strCache>
            </c:strRef>
          </c:cat>
          <c:val>
            <c:numRef>
              <c:f>Berechnung!$L$11:$O$11</c:f>
              <c:numCache>
                <c:formatCode>0</c:formatCode>
                <c:ptCount val="4"/>
                <c:pt idx="1">
                  <c:v>#N/A</c:v>
                </c:pt>
                <c:pt idx="3">
                  <c:v>#N/A</c:v>
                </c:pt>
              </c:numCache>
            </c:numRef>
          </c:val>
          <c:extLst>
            <c:ext xmlns:c16="http://schemas.microsoft.com/office/drawing/2014/chart" uri="{C3380CC4-5D6E-409C-BE32-E72D297353CC}">
              <c16:uniqueId val="{0000003D-0993-44FC-8574-47D7D6EEC3C5}"/>
            </c:ext>
          </c:extLst>
        </c:ser>
        <c:ser>
          <c:idx val="0"/>
          <c:order val="9"/>
          <c:tx>
            <c:strRef>
              <c:f>Berechnung!$K$10</c:f>
              <c:strCache>
                <c:ptCount val="1"/>
                <c:pt idx="0">
                  <c:v>1</c:v>
                </c:pt>
              </c:strCache>
            </c:strRef>
          </c:tx>
          <c:spPr>
            <a:solidFill>
              <a:srgbClr val="544000"/>
            </a:solidFill>
            <a:ln>
              <a:solidFill>
                <a:schemeClr val="tx1"/>
              </a:solidFill>
            </a:ln>
            <a:effectLst/>
          </c:spPr>
          <c:invertIfNegative val="0"/>
          <c:dPt>
            <c:idx val="0"/>
            <c:invertIfNegative val="0"/>
            <c:bubble3D val="0"/>
            <c:spPr>
              <a:solidFill>
                <a:srgbClr val="544000"/>
              </a:solidFill>
              <a:ln>
                <a:noFill/>
              </a:ln>
              <a:effectLst/>
            </c:spPr>
            <c:extLst>
              <c:ext xmlns:c16="http://schemas.microsoft.com/office/drawing/2014/chart" uri="{C3380CC4-5D6E-409C-BE32-E72D297353CC}">
                <c16:uniqueId val="{0000003F-0993-44FC-8574-47D7D6EEC3C5}"/>
              </c:ext>
            </c:extLst>
          </c:dPt>
          <c:dPt>
            <c:idx val="1"/>
            <c:invertIfNegative val="0"/>
            <c:bubble3D val="0"/>
            <c:spPr>
              <a:pattFill prst="ltHorz">
                <a:fgClr>
                  <a:srgbClr val="FF0000"/>
                </a:fgClr>
                <a:bgClr>
                  <a:schemeClr val="bg1"/>
                </a:bgClr>
              </a:pattFill>
              <a:ln>
                <a:solidFill>
                  <a:schemeClr val="tx1"/>
                </a:solidFill>
              </a:ln>
              <a:effectLst/>
            </c:spPr>
            <c:extLst>
              <c:ext xmlns:c16="http://schemas.microsoft.com/office/drawing/2014/chart" uri="{C3380CC4-5D6E-409C-BE32-E72D297353CC}">
                <c16:uniqueId val="{00000041-0993-44FC-8574-47D7D6EEC3C5}"/>
              </c:ext>
            </c:extLst>
          </c:dPt>
          <c:dPt>
            <c:idx val="2"/>
            <c:invertIfNegative val="0"/>
            <c:bubble3D val="0"/>
            <c:spPr>
              <a:solidFill>
                <a:schemeClr val="accent1">
                  <a:lumMod val="50000"/>
                </a:schemeClr>
              </a:solidFill>
              <a:ln>
                <a:noFill/>
              </a:ln>
              <a:effectLst/>
            </c:spPr>
            <c:extLst>
              <c:ext xmlns:c16="http://schemas.microsoft.com/office/drawing/2014/chart" uri="{C3380CC4-5D6E-409C-BE32-E72D297353CC}">
                <c16:uniqueId val="{00000043-0993-44FC-8574-47D7D6EEC3C5}"/>
              </c:ext>
            </c:extLst>
          </c:dPt>
          <c:dPt>
            <c:idx val="3"/>
            <c:invertIfNegative val="0"/>
            <c:bubble3D val="0"/>
            <c:spPr>
              <a:pattFill prst="ltHorz">
                <a:fgClr>
                  <a:srgbClr val="FF0000"/>
                </a:fgClr>
                <a:bgClr>
                  <a:schemeClr val="bg1"/>
                </a:bgClr>
              </a:pattFill>
              <a:ln>
                <a:solidFill>
                  <a:schemeClr val="tx1"/>
                </a:solidFill>
              </a:ln>
              <a:effectLst/>
            </c:spPr>
            <c:extLst>
              <c:ext xmlns:c16="http://schemas.microsoft.com/office/drawing/2014/chart" uri="{C3380CC4-5D6E-409C-BE32-E72D297353CC}">
                <c16:uniqueId val="{00000045-0993-44FC-8574-47D7D6EEC3C5}"/>
              </c:ext>
            </c:extLst>
          </c:dPt>
          <c:dLbls>
            <c:dLbl>
              <c:idx val="1"/>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de-DE"/>
                </a:p>
              </c:txPr>
              <c:dLblPos val="ctr"/>
              <c:showLegendKey val="0"/>
              <c:showVal val="1"/>
              <c:showCatName val="0"/>
              <c:showSerName val="0"/>
              <c:showPercent val="0"/>
              <c:showBubbleSize val="0"/>
              <c:extLst>
                <c:ext xmlns:c16="http://schemas.microsoft.com/office/drawing/2014/chart" uri="{C3380CC4-5D6E-409C-BE32-E72D297353CC}">
                  <c16:uniqueId val="{00000041-0993-44FC-8574-47D7D6EEC3C5}"/>
                </c:ext>
              </c:extLst>
            </c:dLbl>
            <c:dLbl>
              <c:idx val="3"/>
              <c:spPr>
                <a:solidFill>
                  <a:schemeClr val="bg1"/>
                </a:solidFill>
                <a:ln>
                  <a:solidFill>
                    <a:schemeClr val="tx1"/>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de-DE"/>
                </a:p>
              </c:txPr>
              <c:dLblPos val="ctr"/>
              <c:showLegendKey val="0"/>
              <c:showVal val="1"/>
              <c:showCatName val="0"/>
              <c:showSerName val="0"/>
              <c:showPercent val="0"/>
              <c:showBubbleSize val="0"/>
              <c:extLst>
                <c:ext xmlns:c16="http://schemas.microsoft.com/office/drawing/2014/chart" uri="{C3380CC4-5D6E-409C-BE32-E72D297353CC}">
                  <c16:uniqueId val="{00000045-0993-44FC-8574-47D7D6EEC3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Berechnung!$L$9:$O$9</c:f>
              <c:strCache>
                <c:ptCount val="4"/>
                <c:pt idx="0">
                  <c:v>Mächtigkeit der Horizonte in cm</c:v>
                </c:pt>
                <c:pt idx="1">
                  <c:v>Mächtigkeitsverlust in cm</c:v>
                </c:pt>
                <c:pt idx="2">
                  <c:v>nFK in mm je Horizont</c:v>
                </c:pt>
                <c:pt idx="3">
                  <c:v>nFK Verlust in mm</c:v>
                </c:pt>
              </c:strCache>
            </c:strRef>
          </c:cat>
          <c:val>
            <c:numRef>
              <c:f>Berechnung!$L$10:$O$10</c:f>
              <c:numCache>
                <c:formatCode>0</c:formatCode>
                <c:ptCount val="4"/>
                <c:pt idx="0">
                  <c:v>#N/A</c:v>
                </c:pt>
                <c:pt idx="1">
                  <c:v>#N/A</c:v>
                </c:pt>
                <c:pt idx="2">
                  <c:v>#N/A</c:v>
                </c:pt>
                <c:pt idx="3">
                  <c:v>0</c:v>
                </c:pt>
              </c:numCache>
            </c:numRef>
          </c:val>
          <c:extLst>
            <c:ext xmlns:c16="http://schemas.microsoft.com/office/drawing/2014/chart" uri="{C3380CC4-5D6E-409C-BE32-E72D297353CC}">
              <c16:uniqueId val="{00000046-0993-44FC-8574-47D7D6EEC3C5}"/>
            </c:ext>
          </c:extLst>
        </c:ser>
        <c:dLbls>
          <c:dLblPos val="ctr"/>
          <c:showLegendKey val="0"/>
          <c:showVal val="1"/>
          <c:showCatName val="0"/>
          <c:showSerName val="0"/>
          <c:showPercent val="0"/>
          <c:showBubbleSize val="0"/>
        </c:dLbls>
        <c:gapWidth val="100"/>
        <c:overlap val="100"/>
        <c:axId val="492866328"/>
        <c:axId val="492868624"/>
      </c:barChart>
      <c:catAx>
        <c:axId val="4928663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t" anchorCtr="0"/>
          <a:lstStyle/>
          <a:p>
            <a:pPr>
              <a:defRPr sz="1100" b="1" i="0" u="none" strike="noStrike" kern="1200" baseline="0">
                <a:solidFill>
                  <a:sysClr val="windowText" lastClr="000000"/>
                </a:solidFill>
                <a:latin typeface="+mn-lt"/>
                <a:ea typeface="+mn-ea"/>
                <a:cs typeface="+mn-cs"/>
              </a:defRPr>
            </a:pPr>
            <a:endParaRPr lang="de-DE"/>
          </a:p>
        </c:txPr>
        <c:crossAx val="492868624"/>
        <c:crosses val="autoZero"/>
        <c:auto val="1"/>
        <c:lblAlgn val="ctr"/>
        <c:lblOffset val="100"/>
        <c:noMultiLvlLbl val="0"/>
      </c:catAx>
      <c:valAx>
        <c:axId val="492868624"/>
        <c:scaling>
          <c:orientation val="minMax"/>
        </c:scaling>
        <c:delete val="1"/>
        <c:axPos val="l"/>
        <c:majorGridlines>
          <c:spPr>
            <a:ln w="9525" cap="flat" cmpd="sng" algn="ctr">
              <a:solidFill>
                <a:schemeClr val="bg1">
                  <a:lumMod val="75000"/>
                </a:schemeClr>
              </a:solidFill>
              <a:round/>
            </a:ln>
            <a:effectLst/>
          </c:spPr>
        </c:majorGridlines>
        <c:numFmt formatCode="0" sourceLinked="1"/>
        <c:majorTickMark val="out"/>
        <c:minorTickMark val="none"/>
        <c:tickLblPos val="nextTo"/>
        <c:crossAx val="4928663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12700" cap="flat" cmpd="sng" algn="ctr">
      <a:solidFill>
        <a:schemeClr val="tx1">
          <a:lumMod val="75000"/>
          <a:lumOff val="2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784860</xdr:colOff>
      <xdr:row>1</xdr:row>
      <xdr:rowOff>190500</xdr:rowOff>
    </xdr:from>
    <xdr:to>
      <xdr:col>3</xdr:col>
      <xdr:colOff>408220</xdr:colOff>
      <xdr:row>5</xdr:row>
      <xdr:rowOff>205740</xdr:rowOff>
    </xdr:to>
    <xdr:pic>
      <xdr:nvPicPr>
        <xdr:cNvPr id="2" name="Grafik 1" descr="https://www.umweltbundesamt.de/sites/all/themes/uba/logo.png">
          <a:extLst>
            <a:ext uri="{FF2B5EF4-FFF2-40B4-BE49-F238E27FC236}">
              <a16:creationId xmlns:a16="http://schemas.microsoft.com/office/drawing/2014/main" id="{DD9EDDDA-A3B8-4B4A-B74A-677C3FFE53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860" y="373380"/>
          <a:ext cx="2000800" cy="998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390525</xdr:colOff>
      <xdr:row>7</xdr:row>
      <xdr:rowOff>64770</xdr:rowOff>
    </xdr:from>
    <xdr:to>
      <xdr:col>17</xdr:col>
      <xdr:colOff>352425</xdr:colOff>
      <xdr:row>21</xdr:row>
      <xdr:rowOff>255270</xdr:rowOff>
    </xdr:to>
    <xdr:graphicFrame macro="">
      <xdr:nvGraphicFramePr>
        <xdr:cNvPr id="2" name="Diagramm 1">
          <a:extLst>
            <a:ext uri="{FF2B5EF4-FFF2-40B4-BE49-F238E27FC236}">
              <a16:creationId xmlns:a16="http://schemas.microsoft.com/office/drawing/2014/main" id="{8ABEF7F3-7755-4712-BE34-790D80BBC04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mweltbundesamt.de/publikationen/erheblichkeit-von-erosivem-bodenabtrag-entwicklung" TargetMode="External"/><Relationship Id="rId1" Type="http://schemas.openxmlformats.org/officeDocument/2006/relationships/hyperlink" Target="https://www.umweltbundesamt.de/datenschutz-haftung-urheberrech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24"/>
  <sheetViews>
    <sheetView showGridLines="0" tabSelected="1" workbookViewId="0"/>
  </sheetViews>
  <sheetFormatPr baseColWidth="10" defaultRowHeight="14.4" x14ac:dyDescent="0.3"/>
  <sheetData>
    <row r="2" spans="2:5" ht="21" x14ac:dyDescent="0.4">
      <c r="E2" s="13" t="s">
        <v>44</v>
      </c>
    </row>
    <row r="4" spans="2:5" ht="21" x14ac:dyDescent="0.4">
      <c r="E4" s="13" t="s">
        <v>24</v>
      </c>
    </row>
    <row r="5" spans="2:5" ht="21" x14ac:dyDescent="0.4">
      <c r="E5" s="13" t="s">
        <v>25</v>
      </c>
    </row>
    <row r="6" spans="2:5" ht="21" x14ac:dyDescent="0.4">
      <c r="E6" s="13" t="s">
        <v>62</v>
      </c>
    </row>
    <row r="8" spans="2:5" x14ac:dyDescent="0.3">
      <c r="B8" s="1" t="s">
        <v>51</v>
      </c>
      <c r="D8" s="39">
        <v>45748</v>
      </c>
    </row>
    <row r="9" spans="2:5" x14ac:dyDescent="0.3">
      <c r="B9" s="1" t="s">
        <v>63</v>
      </c>
      <c r="D9" s="39">
        <v>45999</v>
      </c>
    </row>
    <row r="10" spans="2:5" x14ac:dyDescent="0.3">
      <c r="B10" s="1" t="s">
        <v>52</v>
      </c>
      <c r="D10" t="s">
        <v>48</v>
      </c>
    </row>
    <row r="11" spans="2:5" x14ac:dyDescent="0.3">
      <c r="B11" s="1" t="s">
        <v>49</v>
      </c>
      <c r="D11" t="s">
        <v>50</v>
      </c>
    </row>
    <row r="12" spans="2:5" x14ac:dyDescent="0.3">
      <c r="B12" s="1" t="s">
        <v>46</v>
      </c>
      <c r="D12" t="s">
        <v>53</v>
      </c>
    </row>
    <row r="13" spans="2:5" x14ac:dyDescent="0.3">
      <c r="B13" s="1" t="s">
        <v>47</v>
      </c>
      <c r="D13" t="s">
        <v>54</v>
      </c>
    </row>
    <row r="14" spans="2:5" x14ac:dyDescent="0.3">
      <c r="B14" s="1" t="s">
        <v>59</v>
      </c>
      <c r="D14" s="38" t="s">
        <v>66</v>
      </c>
    </row>
    <row r="15" spans="2:5" x14ac:dyDescent="0.3">
      <c r="B15" s="1"/>
      <c r="D15" t="s">
        <v>65</v>
      </c>
    </row>
    <row r="16" spans="2:5" x14ac:dyDescent="0.3">
      <c r="B16" s="1"/>
      <c r="D16" s="38"/>
    </row>
    <row r="17" spans="2:10" x14ac:dyDescent="0.3">
      <c r="B17" s="1" t="s">
        <v>60</v>
      </c>
      <c r="D17" s="38" t="s">
        <v>45</v>
      </c>
    </row>
    <row r="18" spans="2:10" ht="15" thickBot="1" x14ac:dyDescent="0.35"/>
    <row r="19" spans="2:10" ht="111.6" customHeight="1" thickBot="1" x14ac:dyDescent="0.35">
      <c r="B19" s="110" t="s">
        <v>144</v>
      </c>
      <c r="C19" s="111"/>
      <c r="D19" s="111"/>
      <c r="E19" s="111"/>
      <c r="F19" s="111"/>
      <c r="G19" s="111"/>
      <c r="H19" s="111"/>
      <c r="I19" s="111"/>
      <c r="J19" s="112"/>
    </row>
    <row r="20" spans="2:10" ht="14.4" customHeight="1" x14ac:dyDescent="0.3">
      <c r="B20" s="37"/>
      <c r="C20" s="37"/>
      <c r="D20" s="37"/>
      <c r="E20" s="37"/>
      <c r="F20" s="37"/>
      <c r="G20" s="37"/>
      <c r="H20" s="37"/>
    </row>
    <row r="21" spans="2:10" x14ac:dyDescent="0.3">
      <c r="B21" s="1" t="s">
        <v>55</v>
      </c>
    </row>
    <row r="22" spans="2:10" x14ac:dyDescent="0.3">
      <c r="B22" t="s">
        <v>56</v>
      </c>
    </row>
    <row r="23" spans="2:10" x14ac:dyDescent="0.3">
      <c r="B23" t="s">
        <v>57</v>
      </c>
    </row>
    <row r="24" spans="2:10" x14ac:dyDescent="0.3">
      <c r="B24" t="s">
        <v>58</v>
      </c>
    </row>
  </sheetData>
  <sheetProtection algorithmName="SHA-512" hashValue="3Ea4AdLoq+C+zufJFNuDPcQga9DTSJQJbHm7KactK6aPrzmjmQXp3YSra1IvDBQxPIZxtzZcMp/PtbnlySksJA==" saltValue="txNekrJxw39y1PELqqt1TA==" spinCount="100000" sheet="1" objects="1" scenarios="1"/>
  <mergeCells count="1">
    <mergeCell ref="B19:J19"/>
  </mergeCells>
  <hyperlinks>
    <hyperlink ref="D17" r:id="rId1" location="c-urheber-und-kennzeichenrecht" display="https://www.umweltbundesamt.de/datenschutz-haftung-urheberrecht - c-urheber-und-kennzeichenrecht" xr:uid="{00000000-0004-0000-0000-000000000000}"/>
    <hyperlink ref="D14" r:id="rId2" display="https://www.umweltbundesamt.de/publikationen/erheblichkeit-von-erosivem-bodenabtrag-entwicklung" xr:uid="{00000000-0004-0000-0000-000001000000}"/>
  </hyperlinks>
  <pageMargins left="0.7" right="0.7" top="0.78740157499999996" bottom="0.78740157499999996"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B1:R59"/>
  <sheetViews>
    <sheetView showGridLines="0" workbookViewId="0">
      <selection activeCell="G2" sqref="G2"/>
    </sheetView>
  </sheetViews>
  <sheetFormatPr baseColWidth="10" defaultRowHeight="14.4" x14ac:dyDescent="0.3"/>
  <cols>
    <col min="1" max="1" width="2.6640625" customWidth="1"/>
    <col min="2" max="2" width="2.44140625" customWidth="1"/>
    <col min="3" max="3" width="57" customWidth="1"/>
    <col min="4" max="9" width="16.44140625" customWidth="1"/>
    <col min="11" max="17" width="9.33203125" customWidth="1"/>
  </cols>
  <sheetData>
    <row r="1" spans="2:15" ht="21" x14ac:dyDescent="0.4">
      <c r="C1" s="13" t="s">
        <v>24</v>
      </c>
    </row>
    <row r="2" spans="2:15" ht="21" x14ac:dyDescent="0.4">
      <c r="C2" s="13" t="s">
        <v>25</v>
      </c>
    </row>
    <row r="3" spans="2:15" ht="15" thickBot="1" x14ac:dyDescent="0.35"/>
    <row r="4" spans="2:15" ht="15.6" thickTop="1" thickBot="1" x14ac:dyDescent="0.35">
      <c r="C4" t="s">
        <v>26</v>
      </c>
      <c r="D4" s="113" t="s">
        <v>74</v>
      </c>
      <c r="E4" s="114"/>
      <c r="F4" s="102"/>
      <c r="G4" s="72" t="s">
        <v>77</v>
      </c>
      <c r="H4" s="147"/>
      <c r="I4" s="148"/>
    </row>
    <row r="5" spans="2:15" ht="15.6" thickTop="1" thickBot="1" x14ac:dyDescent="0.35">
      <c r="D5" s="122" t="s">
        <v>78</v>
      </c>
      <c r="E5" s="123"/>
      <c r="F5" s="106">
        <v>100</v>
      </c>
    </row>
    <row r="6" spans="2:15" ht="16.2" customHeight="1" thickTop="1" thickBot="1" x14ac:dyDescent="0.45">
      <c r="C6" s="13"/>
      <c r="D6" s="122" t="s">
        <v>75</v>
      </c>
      <c r="E6" s="122"/>
      <c r="F6" s="107">
        <v>30</v>
      </c>
    </row>
    <row r="7" spans="2:15" ht="18.600000000000001" customHeight="1" thickTop="1" thickBot="1" x14ac:dyDescent="0.35">
      <c r="G7" s="68"/>
      <c r="K7" s="49" t="s">
        <v>43</v>
      </c>
    </row>
    <row r="8" spans="2:15" ht="19.2" customHeight="1" thickBot="1" x14ac:dyDescent="0.35">
      <c r="D8" s="115" t="s">
        <v>3</v>
      </c>
      <c r="E8" s="116"/>
      <c r="F8" s="116"/>
      <c r="G8" s="116"/>
      <c r="H8" s="116"/>
      <c r="I8" s="117"/>
    </row>
    <row r="9" spans="2:15" ht="54" customHeight="1" thickBot="1" x14ac:dyDescent="0.35">
      <c r="D9" s="61" t="s">
        <v>2</v>
      </c>
      <c r="E9" s="69" t="s">
        <v>27</v>
      </c>
      <c r="F9" s="69" t="s">
        <v>73</v>
      </c>
      <c r="G9" s="60" t="s">
        <v>149</v>
      </c>
      <c r="H9" s="60" t="s">
        <v>76</v>
      </c>
      <c r="I9" s="70" t="s">
        <v>61</v>
      </c>
      <c r="K9" s="2" t="s">
        <v>2</v>
      </c>
      <c r="L9" s="6" t="s">
        <v>35</v>
      </c>
      <c r="M9" s="6" t="s">
        <v>32</v>
      </c>
      <c r="N9" s="6" t="s">
        <v>64</v>
      </c>
      <c r="O9" s="6" t="s">
        <v>33</v>
      </c>
    </row>
    <row r="10" spans="2:15" ht="15" thickTop="1" x14ac:dyDescent="0.3">
      <c r="D10" s="10">
        <v>1</v>
      </c>
      <c r="E10" s="36"/>
      <c r="F10" s="54"/>
      <c r="G10" s="103" t="str">
        <f>IF(ISNUMBER(E10),IF(E10-(SUM(E10)-F$5)&lt;=0,"",IF(SUM(E10)&gt;F$5,E10-(SUM(E10)-F$5),E10)),"")</f>
        <v/>
      </c>
      <c r="H10" s="63" t="str">
        <f>IF(G10="","",IF(ISNUMBER(F10),F10*(G10/10),""))</f>
        <v/>
      </c>
      <c r="I10" s="56"/>
      <c r="K10" s="2">
        <v>1</v>
      </c>
      <c r="L10" s="14" t="e">
        <f>IF(ISBLANK(Berechnung!E10),NA(),Berechnung!E10)</f>
        <v>#N/A</v>
      </c>
      <c r="M10" s="14" t="e">
        <f>IF(E10=0,#N/A,IF(100*SUM(Berechnung!$D$48:$D$51)/Berechnung!$D$29&gt;30,Berechnung!E48,Berechnung!D48))</f>
        <v>#N/A</v>
      </c>
      <c r="N10" s="14" t="e">
        <f>IF(ISNUMBER(Berechnung!H10),Berechnung!H10,NA())</f>
        <v>#N/A</v>
      </c>
      <c r="O10" s="14" t="e">
        <f>IF(H10=0,NA(),IF(100*SUM($D$48:$D$51)/Berechnung!$D$29&gt;30,Berechnung!F48,Berechnung!E41))</f>
        <v>#DIV/0!</v>
      </c>
    </row>
    <row r="11" spans="2:15" x14ac:dyDescent="0.3">
      <c r="D11" s="11">
        <v>2</v>
      </c>
      <c r="E11" s="18"/>
      <c r="F11" s="55"/>
      <c r="G11" s="104" t="str">
        <f>IF(ISNUMBER(E11),IF(E11-(SUM(E10:E11)-F$5)&lt;=0,"",IF(SUM(E10:E11)&gt;F$5,E11-(SUM(E10:E11)-F$5),E11)),"")</f>
        <v/>
      </c>
      <c r="H11" s="64" t="str">
        <f>IF(G11="","",IF(ISNUMBER(F11),F11*(G11/10),""))</f>
        <v/>
      </c>
      <c r="I11" s="57"/>
      <c r="K11" s="2">
        <v>1</v>
      </c>
      <c r="L11" s="14"/>
      <c r="M11" s="14" t="e">
        <f>IF(ISNA(L10=M10),L10,IF(L10-M10=0,NA(),L10-M10))</f>
        <v>#N/A</v>
      </c>
      <c r="N11" s="14"/>
      <c r="O11" s="14" t="e">
        <f>IF(ISNA(N10=O10),N10,IF(N10-O10=0,NA(),N10-O10))</f>
        <v>#N/A</v>
      </c>
    </row>
    <row r="12" spans="2:15" x14ac:dyDescent="0.3">
      <c r="D12" s="11">
        <v>3</v>
      </c>
      <c r="E12" s="18"/>
      <c r="F12" s="55"/>
      <c r="G12" s="104" t="str">
        <f>IF(ISNUMBER(E12),IF(E12-(SUM(E10:E12)-F$5)&lt;=0,"",IF(SUM(E10:E12)&gt;F$5,E12-(SUM(E10:E12)-F$5),E12)),"")</f>
        <v/>
      </c>
      <c r="H12" s="64" t="str">
        <f>IF(G12="","",IF(ISNUMBER(F12),F12*(G12/10),""))</f>
        <v/>
      </c>
      <c r="I12" s="58"/>
      <c r="K12" s="2">
        <v>2</v>
      </c>
      <c r="L12" s="14" t="e">
        <f>IF(ISBLANK(Berechnung!E11),NA(),Berechnung!E11)</f>
        <v>#N/A</v>
      </c>
      <c r="M12" s="14" t="e">
        <f>IF(E11=0,#N/A,IF(100*SUM(Berechnung!$D$48:$D$51)/Berechnung!$D$29&gt;30,IF(Berechnung!E49=0,NA(),Berechnung!E49),IF(Berechnung!D49=0,NA(),Berechnung!D49)))</f>
        <v>#N/A</v>
      </c>
      <c r="N12" s="14" t="e">
        <f>IF(ISNUMBER(Berechnung!H11),Berechnung!H11,NA())</f>
        <v>#N/A</v>
      </c>
      <c r="O12" s="14" t="e">
        <f>IF(H11=0,NA(),IF(100*SUM(Berechnung!$D$48:$D$51)/Berechnung!$D$29&gt;30,Berechnung!F49, IF(Berechnung!E42=0,NA(),E42)))</f>
        <v>#DIV/0!</v>
      </c>
    </row>
    <row r="13" spans="2:15" x14ac:dyDescent="0.3">
      <c r="D13" s="11">
        <v>4</v>
      </c>
      <c r="E13" s="18"/>
      <c r="F13" s="55"/>
      <c r="G13" s="104" t="str">
        <f>IF(ISNUMBER(E13),IF(E13-(SUM(E10:E13)-F$5)&lt;=0,"",IF(SUM(E10:E13)&gt;F$5,E13-(SUM(E10:E13)-F$5),E13)),"")</f>
        <v/>
      </c>
      <c r="H13" s="64" t="str">
        <f>IF(G13="","",IF(ISNUMBER(F13),F13*(G13/10),""))</f>
        <v/>
      </c>
      <c r="I13" s="57"/>
      <c r="K13" s="15">
        <v>2</v>
      </c>
      <c r="L13" s="14"/>
      <c r="M13" s="14" t="e">
        <f>IF(ISNA(L12=M12),L12,IF(L12-M12=0,NA(),L12-M12))</f>
        <v>#N/A</v>
      </c>
      <c r="N13" s="14"/>
      <c r="O13" s="14" t="e">
        <f>IF(ISNA(N12=O12),N12,IF(N12-O12=0,NA(),N12-O12))</f>
        <v>#N/A</v>
      </c>
    </row>
    <row r="14" spans="2:15" ht="15" thickBot="1" x14ac:dyDescent="0.35">
      <c r="D14" s="12">
        <v>5</v>
      </c>
      <c r="E14" s="19"/>
      <c r="F14" s="20"/>
      <c r="G14" s="105" t="str">
        <f>IF(ISNUMBER(E14),IF(E14-(SUM(E10:E14)-F$5)&lt;=0,"",IF(SUM(E10:E14)&gt;F$5,E14-(SUM(E10:E14)-F$5),E14)),"")</f>
        <v/>
      </c>
      <c r="H14" s="65" t="str">
        <f>IF(G14="","",IF(ISNUMBER(F14),F14*(G14/10),""))</f>
        <v/>
      </c>
      <c r="I14" s="59"/>
      <c r="K14" s="2">
        <v>3</v>
      </c>
      <c r="L14" s="14" t="e">
        <f>IF(ISBLANK(Berechnung!E12),NA(),Berechnung!E12)</f>
        <v>#N/A</v>
      </c>
      <c r="M14" s="14" t="e">
        <f>IF(E12=0,#N/A,IF(100*SUM(Berechnung!$D$48:$D$51)/Berechnung!$D$29&gt;30,IF(Berechnung!E50=0,NA(),Berechnung!E50),IF(Berechnung!D50=0,NA(),Berechnung!D50)))</f>
        <v>#N/A</v>
      </c>
      <c r="N14" s="14" t="e">
        <f>IF(ISNUMBER(Berechnung!H12),Berechnung!H12,NA())</f>
        <v>#N/A</v>
      </c>
      <c r="O14" s="14" t="e">
        <f>IF(Berechnung!E43=0,NA(),IF(100*SUM(Berechnung!$D$48:$D$51)/Berechnung!$D$29&gt;30,Berechnung!F50,IF(Berechnung!E43=0,NA(),E43)))</f>
        <v>#N/A</v>
      </c>
    </row>
    <row r="15" spans="2:15" ht="16.2" customHeight="1" thickBot="1" x14ac:dyDescent="0.35">
      <c r="E15" s="71"/>
      <c r="F15" s="71"/>
      <c r="G15" s="124" t="str">
        <f>IF(SUM(G10:G14)=F5,"Die maximale Profiltiefe von " &amp;F5&amp; " cm für die Berechnung ist erreicht. Grau unterlegte Felder müssen nicht gefüllt werden!","")</f>
        <v/>
      </c>
      <c r="H15" s="124"/>
      <c r="I15" s="124"/>
      <c r="K15" s="15">
        <v>3</v>
      </c>
      <c r="L15" s="14"/>
      <c r="M15" s="14" t="e">
        <f>IF(ISNA(L14=M14),L14,IF(L14-M14=0,NA(),L14-M14))</f>
        <v>#N/A</v>
      </c>
      <c r="N15" s="14"/>
      <c r="O15" s="14" t="e">
        <f>IF(ISNA(N14=O14),N14,IF(N14-O14=0,NA(),N14-O14))</f>
        <v>#N/A</v>
      </c>
    </row>
    <row r="16" spans="2:15" ht="15.6" x14ac:dyDescent="0.3">
      <c r="B16" s="40"/>
      <c r="C16" s="125" t="str">
        <f xml:space="preserve"> "Ergebnis " &amp; H4 &amp;":"</f>
        <v>Ergebnis :</v>
      </c>
      <c r="D16" s="125"/>
      <c r="E16" s="126"/>
      <c r="F16" s="52"/>
      <c r="G16" s="124"/>
      <c r="H16" s="124"/>
      <c r="I16" s="124"/>
      <c r="K16" s="2">
        <v>4</v>
      </c>
      <c r="L16" s="14" t="e">
        <f>IF(ISBLANK(Berechnung!E13),NA(),Berechnung!E13)</f>
        <v>#N/A</v>
      </c>
      <c r="M16" s="14" t="e">
        <f>IF(E13=0,#N/A,IF(100*SUM(Berechnung!$D$48:$D$51)/Berechnung!$D$29&gt;30,IF(Berechnung!E51=0,NA(),Berechnung!E51),IF(Berechnung!D51=0,NA(),Berechnung!D51)))</f>
        <v>#N/A</v>
      </c>
      <c r="N16" s="14" t="e">
        <f>IF(ISNUMBER(Berechnung!H13),Berechnung!H13,NA())</f>
        <v>#N/A</v>
      </c>
      <c r="O16" s="14" t="e">
        <f>IF(Berechnung!E44=0,NA(),IF(100*SUM(Berechnung!$D$48:$D$51)/Berechnung!$D$29&gt;30,Berechnung!F51,IF(Berechnung!E44=0,NA(),E44)))</f>
        <v>#N/A</v>
      </c>
    </row>
    <row r="17" spans="2:18" ht="31.95" customHeight="1" x14ac:dyDescent="0.3">
      <c r="B17" s="41"/>
      <c r="C17" s="118" t="e">
        <f>IF(E48&gt;0,"Beachte: Die maximal zulässige Profilverkürzung von 30 % wird übertroffen, daher basiert der berechnete Bodenabtrag auf maximal 30%.","")</f>
        <v>#DIV/0!</v>
      </c>
      <c r="D17" s="118"/>
      <c r="E17" s="119"/>
      <c r="F17" s="53"/>
      <c r="G17" s="124"/>
      <c r="H17" s="124"/>
      <c r="I17" s="124"/>
      <c r="K17" s="2">
        <v>4</v>
      </c>
      <c r="L17" s="14"/>
      <c r="M17" s="14" t="e">
        <f>IF(ISNA(L16=M16),L16,IF(L16-M16=0,NA(),L16-M16))</f>
        <v>#N/A</v>
      </c>
      <c r="N17" s="14"/>
      <c r="O17" s="14" t="e">
        <f>IF(ISNA(N16=O16),N16,IF(N16-O16=0,NA(),N16-O16))</f>
        <v>#N/A</v>
      </c>
    </row>
    <row r="18" spans="2:18" ht="5.25" customHeight="1" x14ac:dyDescent="0.3">
      <c r="B18" s="41"/>
      <c r="C18" s="118"/>
      <c r="D18" s="118"/>
      <c r="E18" s="119"/>
      <c r="F18" s="53"/>
      <c r="G18" s="53"/>
      <c r="H18" s="4"/>
      <c r="K18" s="2">
        <v>5</v>
      </c>
      <c r="L18" s="14" t="e">
        <f>IF(ISBLANK(Berechnung!E14),NA(),Berechnung!E14)</f>
        <v>#N/A</v>
      </c>
      <c r="M18" s="14" t="e">
        <f>IF(E14=0,#N/A,IF(100*SUM(Berechnung!$D$48:$D$51)/Berechnung!$D$29&gt;30,IF(Berechnung!E52=0,NA(),Berechnung!E52),IF(Berechnung!D52=0,NA(),Berechnung!D52)))</f>
        <v>#N/A</v>
      </c>
      <c r="N18" s="14" t="e">
        <f>IF(ISNUMBER(Berechnung!H14),Berechnung!H14,NA())</f>
        <v>#N/A</v>
      </c>
      <c r="O18" s="14" t="e">
        <f>IF(Berechnung!E45=0,NA(),IF(100*SUM(Berechnung!$D$48:$D$51)/Berechnung!$D$29&gt;30,Berechnung!F52,IF(Berechnung!E45=0,NA(),E45)))</f>
        <v>#N/A</v>
      </c>
    </row>
    <row r="19" spans="2:18" x14ac:dyDescent="0.3">
      <c r="B19" s="42"/>
      <c r="C19" s="43" t="s">
        <v>23</v>
      </c>
      <c r="D19" s="44"/>
      <c r="E19" s="45"/>
      <c r="F19" s="52"/>
      <c r="G19" s="52"/>
      <c r="H19" s="4"/>
      <c r="K19" s="2">
        <v>5</v>
      </c>
      <c r="L19" s="14"/>
      <c r="M19" s="14" t="e">
        <f>L18</f>
        <v>#N/A</v>
      </c>
      <c r="N19" s="14"/>
      <c r="O19" s="14" t="e">
        <f>N18</f>
        <v>#N/A</v>
      </c>
    </row>
    <row r="20" spans="2:18" x14ac:dyDescent="0.3">
      <c r="B20" s="46" t="s">
        <v>36</v>
      </c>
      <c r="C20" s="47" t="e">
        <f>"beträgt die berechnete, maximal tolerierbare Profilverkürzung für 300 Jahre "&amp;ROUND(D53,1)&amp; " cm."</f>
        <v>#DIV/0!</v>
      </c>
      <c r="D20" s="44"/>
      <c r="E20" s="45"/>
      <c r="F20" s="52"/>
      <c r="G20" s="52"/>
      <c r="H20" s="4"/>
    </row>
    <row r="21" spans="2:18" ht="32.4" customHeight="1" x14ac:dyDescent="0.3">
      <c r="B21" s="46" t="s">
        <v>36</v>
      </c>
      <c r="C21" s="118" t="e">
        <f xml:space="preserve"> IF(D59&gt;25, "sind Bodenabträge für Einzelereignisse von "&amp;ROUND(D59,1)&amp;" t/ha berechnet worden. Diese liegen über der Obergrenze für sehr tiefgründige Böden von 25 t/ha.", "sind Einzelereignisse mit Bodenabträgen &gt; " &amp;ROUND(D59,1)&amp;" t/ha als erheblich einzuschätzen und Maßnahmen zur Gefahrenabwehr einzuleiten.")</f>
        <v>#DIV/0!</v>
      </c>
      <c r="D21" s="118"/>
      <c r="E21" s="119"/>
      <c r="F21" s="53"/>
      <c r="G21" s="53"/>
      <c r="H21" s="37"/>
      <c r="I21" s="37"/>
    </row>
    <row r="22" spans="2:18" ht="30.6" customHeight="1" thickBot="1" x14ac:dyDescent="0.35">
      <c r="B22" s="48" t="s">
        <v>36</v>
      </c>
      <c r="C22" s="120" t="e">
        <f>IF(D58&gt;13,"sind mittlere jährliche Bodenabträge von "&amp;ROUND(D58,1)&amp;" t/ha/a berechnet worden. Diese liegen über der Obergrenze für sehr tiefgründige Böden von 13 t/ha/a.","sind mittlere jährliche Bodenabträge &gt; "&amp;ROUND(D58,1)&amp;" t/ha/a als erheblich einzuschätzen.")</f>
        <v>#DIV/0!</v>
      </c>
      <c r="D22" s="120"/>
      <c r="E22" s="121"/>
      <c r="F22" s="53"/>
      <c r="G22" s="53"/>
      <c r="H22" s="37"/>
      <c r="I22" s="37"/>
    </row>
    <row r="23" spans="2:18" x14ac:dyDescent="0.3">
      <c r="H23" s="4"/>
      <c r="J23" t="s">
        <v>34</v>
      </c>
      <c r="K23" s="16">
        <f>SUM(Berechnung!E10:E14)</f>
        <v>0</v>
      </c>
      <c r="L23" s="5"/>
      <c r="M23" s="17">
        <f>IF(ISERROR(D53),0,Berechnung!D53)</f>
        <v>0</v>
      </c>
      <c r="N23" s="5"/>
      <c r="O23" s="62">
        <f>SUM(Berechnung!H10:H14)</f>
        <v>0</v>
      </c>
      <c r="P23" s="5"/>
      <c r="Q23" s="17" t="e">
        <f>IF(100*SUM(Berechnung!$D$48:$D$51)/Berechnung!$D$29&gt;30,SUMIF(F48:F51,"&lt;&gt;"&amp;"#NV",F48:F51),SUM(Berechnung!E41:E44))</f>
        <v>#DIV/0!</v>
      </c>
    </row>
    <row r="24" spans="2:18" ht="15" thickBot="1" x14ac:dyDescent="0.35">
      <c r="B24" s="8"/>
      <c r="C24" s="8"/>
      <c r="D24" s="8"/>
      <c r="E24" s="8"/>
      <c r="F24" s="8"/>
      <c r="G24" s="8"/>
      <c r="H24" s="9"/>
      <c r="I24" s="8"/>
      <c r="J24" s="8"/>
      <c r="K24" s="8"/>
      <c r="L24" s="8"/>
      <c r="M24" s="8"/>
      <c r="N24" s="8"/>
      <c r="O24" s="8"/>
      <c r="P24" s="8"/>
      <c r="Q24" s="8"/>
      <c r="R24" s="8"/>
    </row>
    <row r="25" spans="2:18" ht="15" thickTop="1" x14ac:dyDescent="0.3">
      <c r="B25" s="28"/>
      <c r="C25" s="28"/>
      <c r="D25" s="28"/>
      <c r="E25" s="28"/>
      <c r="F25" s="28"/>
      <c r="G25" s="28"/>
      <c r="H25" s="67"/>
      <c r="I25" s="28"/>
      <c r="J25" s="28"/>
      <c r="K25" s="28"/>
      <c r="L25" s="28"/>
      <c r="M25" s="28"/>
      <c r="N25" s="28"/>
      <c r="O25" s="28"/>
      <c r="P25" s="28"/>
      <c r="Q25" s="28"/>
      <c r="R25" s="28"/>
    </row>
    <row r="26" spans="2:18" ht="15.6" x14ac:dyDescent="0.3">
      <c r="C26" s="49" t="s">
        <v>21</v>
      </c>
      <c r="H26" s="4"/>
    </row>
    <row r="27" spans="2:18" x14ac:dyDescent="0.3">
      <c r="H27" s="4"/>
    </row>
    <row r="28" spans="2:18" x14ac:dyDescent="0.3">
      <c r="B28" s="22" t="s">
        <v>38</v>
      </c>
      <c r="C28" s="1" t="s">
        <v>30</v>
      </c>
    </row>
    <row r="29" spans="2:18" x14ac:dyDescent="0.3">
      <c r="B29" s="22"/>
      <c r="C29" s="23" t="s">
        <v>28</v>
      </c>
      <c r="D29" s="2">
        <f>SUM(G10:G14)</f>
        <v>0</v>
      </c>
    </row>
    <row r="30" spans="2:18" x14ac:dyDescent="0.3">
      <c r="B30" s="22"/>
      <c r="C30" s="23" t="s">
        <v>29</v>
      </c>
      <c r="D30" s="26">
        <f>SUM(H10:H14)</f>
        <v>0</v>
      </c>
    </row>
    <row r="31" spans="2:18" x14ac:dyDescent="0.3">
      <c r="B31" s="22"/>
      <c r="D31" s="5"/>
    </row>
    <row r="32" spans="2:18" x14ac:dyDescent="0.3">
      <c r="B32" s="22"/>
      <c r="D32" s="5"/>
    </row>
    <row r="33" spans="2:7" x14ac:dyDescent="0.3">
      <c r="B33" s="22" t="s">
        <v>39</v>
      </c>
      <c r="C33" s="1" t="s">
        <v>15</v>
      </c>
      <c r="D33" s="5"/>
    </row>
    <row r="34" spans="2:7" x14ac:dyDescent="0.3">
      <c r="B34" s="22"/>
      <c r="C34" s="23"/>
      <c r="D34" s="2" t="s">
        <v>9</v>
      </c>
    </row>
    <row r="35" spans="2:7" x14ac:dyDescent="0.3">
      <c r="B35" s="22"/>
      <c r="C35" s="23" t="s">
        <v>0</v>
      </c>
      <c r="D35" s="26">
        <f>F6*D30/100</f>
        <v>0</v>
      </c>
    </row>
    <row r="36" spans="2:7" x14ac:dyDescent="0.3">
      <c r="B36" s="22"/>
      <c r="C36" s="23" t="s">
        <v>1</v>
      </c>
      <c r="D36" s="26">
        <f>D30-D35</f>
        <v>0</v>
      </c>
    </row>
    <row r="37" spans="2:7" x14ac:dyDescent="0.3">
      <c r="B37" s="22"/>
    </row>
    <row r="38" spans="2:7" x14ac:dyDescent="0.3">
      <c r="B38" s="22"/>
    </row>
    <row r="39" spans="2:7" x14ac:dyDescent="0.3">
      <c r="B39" s="22" t="s">
        <v>40</v>
      </c>
      <c r="C39" s="1" t="s">
        <v>72</v>
      </c>
    </row>
    <row r="40" spans="2:7" x14ac:dyDescent="0.3">
      <c r="B40" s="22"/>
      <c r="C40" s="23"/>
      <c r="D40" s="2" t="s">
        <v>8</v>
      </c>
      <c r="E40" s="2" t="s">
        <v>9</v>
      </c>
    </row>
    <row r="41" spans="2:7" x14ac:dyDescent="0.3">
      <c r="B41" s="22"/>
      <c r="C41" s="23" t="s">
        <v>4</v>
      </c>
      <c r="D41" s="26" t="e">
        <f>D35/H10*100</f>
        <v>#VALUE!</v>
      </c>
      <c r="E41" s="26">
        <f>IF(ISNUMBER(D41),IF(D41&gt;100,H10,D41*H10/100),0)</f>
        <v>0</v>
      </c>
      <c r="F41" t="e">
        <f>IF(D41&gt;100,"Dieser Horizont wird vollständig gekappt und der nächste beeinträchtigt.",IF(D41=100,"Nur dieser Horizont wird vollständig gekappt.","Der erste Horizont wird beeinträchtigt."))</f>
        <v>#VALUE!</v>
      </c>
    </row>
    <row r="42" spans="2:7" x14ac:dyDescent="0.3">
      <c r="B42" s="22"/>
      <c r="C42" s="23" t="s">
        <v>5</v>
      </c>
      <c r="D42" s="26" t="e">
        <f>IF($D$41&gt;100,(($D$35-$H$10)/$H$11)*100,"")</f>
        <v>#VALUE!</v>
      </c>
      <c r="E42" s="26">
        <f>IF(ISNUMBER(D42),IF(D42&gt;100,H11,D42*H11/100),0)</f>
        <v>0</v>
      </c>
      <c r="F42" t="e">
        <f>IF(AND(D42&gt;100,ISNUMBER(D42)),"Dieser Horizont wird vollständig gekappt und der nächste beeinträchtigt.",IF(AND(D42=100,ISNUMBER(D42)),"Dieser Horizont wird vollständig gekappt.",IF(D42="","","Der erste Horizont wird vollständig gekapppt und der zweite Horizont beinträchtigt.")))</f>
        <v>#VALUE!</v>
      </c>
    </row>
    <row r="43" spans="2:7" x14ac:dyDescent="0.3">
      <c r="B43" s="22"/>
      <c r="C43" s="23" t="s">
        <v>6</v>
      </c>
      <c r="D43" s="14" t="e">
        <f>IF(AND($D$42&gt;100,ISNUMBER($D$42)),(($D$35-$H$10-$H$11)/$H$12)*100,"")</f>
        <v>#VALUE!</v>
      </c>
      <c r="E43" s="2">
        <f>IF(ISNUMBER(D43),IF(D43&gt;100,H12,D43*H12/100),0)</f>
        <v>0</v>
      </c>
      <c r="F43" t="e">
        <f>IF(AND(D43&gt;100,ISNUMBER(D43)),"Dieser Horizont wird vollständig gekappt und der nächste beeinträchtigt.",IF(AND(D43=100,ISNUMBER(D43)),"Dieser Horizont wird vollständig gekappt.",IF(D43="","","Die oberen Horizonte werden vollständig gekapppt und der dritte Horizont beinträchtigt.")))</f>
        <v>#VALUE!</v>
      </c>
    </row>
    <row r="44" spans="2:7" x14ac:dyDescent="0.3">
      <c r="B44" s="22"/>
      <c r="C44" s="23" t="s">
        <v>7</v>
      </c>
      <c r="D44" s="24" t="e">
        <f>IF(AND($D$43&gt;100,ISNUMBER($D$43)),(($D$35-$H$10-$H$11-$H$12)/$H$13)*100,"")</f>
        <v>#VALUE!</v>
      </c>
      <c r="E44" s="2">
        <f>IF(ISNUMBER(D44),IF(D44&gt;100,H13,D44*H13/100),0)</f>
        <v>0</v>
      </c>
      <c r="F44" t="e">
        <f>IF(AND(D44&gt;100,ISNUMBER(D44)),"Dieser Horizont wird vollständig gekappt und der nächste beeinträchtigt.",IF(AND(D44=100,ISNUMBER(D44)),"Dieser Horizont wird vollständig gekappt.",IF(D44="","","Die oberen Horizonte werden vollständig gekapppt und der vierte Horizont beinträchtigt.")))</f>
        <v>#VALUE!</v>
      </c>
    </row>
    <row r="45" spans="2:7" x14ac:dyDescent="0.3">
      <c r="B45" s="22"/>
    </row>
    <row r="46" spans="2:7" x14ac:dyDescent="0.3">
      <c r="B46" s="22" t="s">
        <v>41</v>
      </c>
      <c r="C46" s="1" t="s">
        <v>11</v>
      </c>
    </row>
    <row r="47" spans="2:7" x14ac:dyDescent="0.3">
      <c r="B47" s="22"/>
      <c r="C47" s="23"/>
      <c r="D47" s="2" t="s">
        <v>31</v>
      </c>
      <c r="E47" s="25" t="s">
        <v>37</v>
      </c>
    </row>
    <row r="48" spans="2:7" x14ac:dyDescent="0.3">
      <c r="B48" s="22"/>
      <c r="C48" s="23" t="s">
        <v>10</v>
      </c>
      <c r="D48" s="26">
        <f>IF(ISNUMBER(D41),IF(D41&gt;100,E10*100/100,E10*D41/100),0)</f>
        <v>0</v>
      </c>
      <c r="E48" s="31" t="e">
        <f>IF(100*SUM(D48:D51)/IF(D29&gt;100, 100,D29) &gt; 30,IF(D48&gt;D53, D53,E10),0)</f>
        <v>#DIV/0!</v>
      </c>
      <c r="F48" s="35" t="e">
        <f>IF(E48&gt;0,(E48/E10*100)*H10/100,NA())</f>
        <v>#DIV/0!</v>
      </c>
      <c r="G48" s="35"/>
    </row>
    <row r="49" spans="2:9" x14ac:dyDescent="0.3">
      <c r="B49" s="22"/>
      <c r="C49" s="23" t="s">
        <v>12</v>
      </c>
      <c r="D49" s="26">
        <f>IF(ISNUMBER(D42),IF(D42&gt;100,E11*100/100,E11*D42/100),0)</f>
        <v>0</v>
      </c>
      <c r="E49" s="31" t="e">
        <f>IF(AND(D49&gt;0,E48&gt;0),IF(E48&lt;D53, IF(D53-E48&gt;D49,D49,D53-E48),0),0)</f>
        <v>#DIV/0!</v>
      </c>
      <c r="F49" s="35" t="e">
        <f>IF(E49&gt;0,(E49/E11*100)*H11/100,NA())</f>
        <v>#DIV/0!</v>
      </c>
      <c r="G49" s="35"/>
      <c r="I49" s="34"/>
    </row>
    <row r="50" spans="2:9" x14ac:dyDescent="0.3">
      <c r="B50" s="22"/>
      <c r="C50" s="23" t="s">
        <v>13</v>
      </c>
      <c r="D50" s="26">
        <f>IF(ISNUMBER(D43),IF(D43&gt;100,E12*100/100,E12*D43/100),0)</f>
        <v>0</v>
      </c>
      <c r="E50" s="31" t="e">
        <f>IF(AND(D50&gt;0,E49&gt;0),IF(E49&lt;D53,IF(D53-E48-E49&gt;D50,D50,D53-E48-E49),0),0)</f>
        <v>#DIV/0!</v>
      </c>
      <c r="F50" s="35" t="e">
        <f>IF(E50&gt;0,(E50/E12*100)*H12/100,NA())</f>
        <v>#DIV/0!</v>
      </c>
      <c r="G50" s="35"/>
    </row>
    <row r="51" spans="2:9" x14ac:dyDescent="0.3">
      <c r="B51" s="22"/>
      <c r="C51" s="23" t="s">
        <v>14</v>
      </c>
      <c r="D51" s="26">
        <f>IF(ISNUMBER(D44),IF(D44&gt;100,E13*100/100,E13*D44/100),0)</f>
        <v>0</v>
      </c>
      <c r="E51" s="31" t="e">
        <f>IF(AND(D51&gt;0,E50&gt;0),IF(E50&lt;D53, IF(D53-E48-E49-E50&gt;D51,D51,D53-E48-E49-E50),0),0)</f>
        <v>#DIV/0!</v>
      </c>
      <c r="F51" s="35" t="e">
        <f>IF(E51&gt;0,(E51/E13*100)*H13/100,NA())</f>
        <v>#DIV/0!</v>
      </c>
      <c r="G51" s="35"/>
    </row>
    <row r="52" spans="2:9" x14ac:dyDescent="0.3">
      <c r="B52" s="22"/>
      <c r="C52" s="28"/>
      <c r="D52" s="29"/>
      <c r="E52" s="30"/>
    </row>
    <row r="53" spans="2:9" x14ac:dyDescent="0.3">
      <c r="B53" s="22"/>
      <c r="C53" s="33" t="s">
        <v>16</v>
      </c>
      <c r="D53" s="32" t="e">
        <f>IF(100*SUM(D48:D51)/IF(D29&gt;100, 100,D29) &gt; 30, IF(D29&gt;100, 100,D29)*30/100,SUM(D48:D51))</f>
        <v>#DIV/0!</v>
      </c>
      <c r="E53" s="33" t="str">
        <f>IF(ISNUMBER(D53),"Die maximal tolerierbare Profilverkürzung für 300 Jahre beträgt "&amp;ROUND(D53,1)&amp; " cm.","")</f>
        <v/>
      </c>
    </row>
    <row r="54" spans="2:9" x14ac:dyDescent="0.3">
      <c r="B54" s="22"/>
      <c r="D54" s="7"/>
    </row>
    <row r="55" spans="2:9" x14ac:dyDescent="0.3">
      <c r="B55" s="22"/>
    </row>
    <row r="56" spans="2:9" x14ac:dyDescent="0.3">
      <c r="B56" s="22" t="s">
        <v>42</v>
      </c>
      <c r="C56" s="1" t="s">
        <v>20</v>
      </c>
      <c r="D56" s="3" t="e">
        <f>IF(E48&gt;0,((E48/100*I10*1000)+IF(E49=0,0,(E49/100*I11*1000))+IF(E50=0,0,(E50/100*I12*1000))+IF(E51=0,0,(E51/100*I13*1000)))*10,((D48/100*I10*1000)+IF(D49=0,0,(D49/100*I11*1000))+IF(D50=0,0,(D50/100*I12*1000))+IF(D51=0,0,(D51/100*I13*1000)))*10)</f>
        <v>#DIV/0!</v>
      </c>
      <c r="E56" t="s">
        <v>19</v>
      </c>
      <c r="F56" s="21"/>
      <c r="G56" s="21"/>
    </row>
    <row r="58" spans="2:9" ht="16.2" x14ac:dyDescent="0.3">
      <c r="C58" s="23" t="s">
        <v>18</v>
      </c>
      <c r="D58" s="27" t="e">
        <f>D56/300</f>
        <v>#DIV/0!</v>
      </c>
      <c r="E58" s="23" t="s">
        <v>22</v>
      </c>
    </row>
    <row r="59" spans="2:9" x14ac:dyDescent="0.3">
      <c r="C59" s="23" t="s">
        <v>17</v>
      </c>
      <c r="D59" s="27" t="e">
        <f>D56/300*2</f>
        <v>#DIV/0!</v>
      </c>
      <c r="E59" s="23" t="s">
        <v>19</v>
      </c>
      <c r="F59" s="28"/>
      <c r="G59" s="28"/>
    </row>
  </sheetData>
  <sheetProtection algorithmName="SHA-512" hashValue="bru3ae4CPcHuyj/TkcczZ3lUf1vgRmWd1c7oiT/h2ddJZ8sfaTJyxLurhueo0q7TMf86rmLzgxFH+STL0d5r8Q==" saltValue="qfOG1I3ej99I4bpaevlTNg==" spinCount="100000" sheet="1" objects="1" scenarios="1"/>
  <mergeCells count="11">
    <mergeCell ref="D4:E4"/>
    <mergeCell ref="D8:I8"/>
    <mergeCell ref="C21:E21"/>
    <mergeCell ref="C22:E22"/>
    <mergeCell ref="C17:E17"/>
    <mergeCell ref="C18:E18"/>
    <mergeCell ref="D5:E5"/>
    <mergeCell ref="D6:E6"/>
    <mergeCell ref="G15:I17"/>
    <mergeCell ref="H4:I4"/>
    <mergeCell ref="C16:E16"/>
  </mergeCells>
  <conditionalFormatting sqref="B19">
    <cfRule type="expression" dxfId="17" priority="51">
      <formula>ISBLANK($C$17)</formula>
    </cfRule>
  </conditionalFormatting>
  <conditionalFormatting sqref="C21">
    <cfRule type="expression" dxfId="16" priority="41">
      <formula>$D$59&gt;=25</formula>
    </cfRule>
  </conditionalFormatting>
  <conditionalFormatting sqref="C22">
    <cfRule type="expression" dxfId="15" priority="40">
      <formula>$D$58&gt;=13</formula>
    </cfRule>
  </conditionalFormatting>
  <conditionalFormatting sqref="D29">
    <cfRule type="cellIs" dxfId="14" priority="49" operator="lessThanOrEqual">
      <formula>100</formula>
    </cfRule>
    <cfRule type="cellIs" dxfId="13" priority="50" operator="greaterThan">
      <formula>100</formula>
    </cfRule>
  </conditionalFormatting>
  <conditionalFormatting sqref="D11:I11">
    <cfRule type="expression" dxfId="12" priority="26">
      <formula>$E$10&gt;=100</formula>
    </cfRule>
  </conditionalFormatting>
  <conditionalFormatting sqref="D12:I12">
    <cfRule type="expression" dxfId="11" priority="54">
      <formula>($E$10+$E$11)&gt;=100</formula>
    </cfRule>
  </conditionalFormatting>
  <conditionalFormatting sqref="E41:G44 D48:D52 D54">
    <cfRule type="cellIs" dxfId="10" priority="42" operator="equal">
      <formula>0</formula>
    </cfRule>
  </conditionalFormatting>
  <conditionalFormatting sqref="E47:G47">
    <cfRule type="expression" dxfId="9" priority="38">
      <formula>$E$48&gt;0</formula>
    </cfRule>
  </conditionalFormatting>
  <conditionalFormatting sqref="E48:G48">
    <cfRule type="expression" dxfId="8" priority="37">
      <formula>$E$48&gt;0</formula>
    </cfRule>
  </conditionalFormatting>
  <conditionalFormatting sqref="E49:G49">
    <cfRule type="expression" dxfId="7" priority="36">
      <formula>$E$49&gt;0</formula>
    </cfRule>
  </conditionalFormatting>
  <conditionalFormatting sqref="E50:G50">
    <cfRule type="expression" dxfId="6" priority="35">
      <formula>$E$50&gt;0</formula>
    </cfRule>
  </conditionalFormatting>
  <conditionalFormatting sqref="E51:G51">
    <cfRule type="expression" dxfId="5" priority="34">
      <formula>$E$51&gt;0</formula>
    </cfRule>
  </conditionalFormatting>
  <conditionalFormatting sqref="F13:I13">
    <cfRule type="expression" dxfId="4" priority="25">
      <formula>SUM($E$10,$E$11,$E$12)&gt;=100</formula>
    </cfRule>
  </conditionalFormatting>
  <conditionalFormatting sqref="F14:I14">
    <cfRule type="expression" dxfId="3" priority="24">
      <formula>SUM($E$10:$E$13)&gt;=100</formula>
    </cfRule>
  </conditionalFormatting>
  <conditionalFormatting sqref="K14:K15">
    <cfRule type="expression" dxfId="2" priority="30">
      <formula>(#REF!+$E$9)&gt;=100</formula>
    </cfRule>
  </conditionalFormatting>
  <conditionalFormatting sqref="L11 K12:K13">
    <cfRule type="expression" dxfId="1" priority="29">
      <formula>#REF!&gt;=100</formula>
    </cfRule>
  </conditionalFormatting>
  <conditionalFormatting sqref="L13 K16">
    <cfRule type="expression" dxfId="0" priority="31">
      <formula>SUM(#REF!,$E$9,$E$11)&gt;=100</formula>
    </cfRule>
  </conditionalFormatting>
  <pageMargins left="0.7" right="0.7" top="0.78740157499999996" bottom="0.78740157499999996" header="0.3" footer="0.3"/>
  <pageSetup paperSize="9" orientation="portrait" r:id="rId1"/>
  <ignoredErrors>
    <ignoredError sqref="G10" unlockedFormula="1"/>
    <ignoredError sqref="G11:G14" formulaRange="1"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S67"/>
  <sheetViews>
    <sheetView showGridLines="0" workbookViewId="0">
      <selection activeCell="F13" sqref="F13"/>
    </sheetView>
  </sheetViews>
  <sheetFormatPr baseColWidth="10" defaultRowHeight="14.4" x14ac:dyDescent="0.3"/>
  <cols>
    <col min="2" max="2" width="15.88671875" customWidth="1"/>
    <col min="3" max="5" width="8.88671875" customWidth="1"/>
    <col min="8" max="8" width="9.88671875" customWidth="1"/>
    <col min="9" max="13" width="8.88671875" customWidth="1"/>
    <col min="16" max="19" width="8.88671875" customWidth="1"/>
  </cols>
  <sheetData>
    <row r="2" spans="2:3" ht="21" x14ac:dyDescent="0.4">
      <c r="B2" s="13" t="s">
        <v>71</v>
      </c>
    </row>
    <row r="5" spans="2:3" ht="15" thickBot="1" x14ac:dyDescent="0.35">
      <c r="B5" t="s">
        <v>68</v>
      </c>
    </row>
    <row r="6" spans="2:3" ht="15" thickBot="1" x14ac:dyDescent="0.35">
      <c r="B6" s="66"/>
    </row>
    <row r="7" spans="2:3" ht="15" thickBot="1" x14ac:dyDescent="0.35">
      <c r="B7" t="s">
        <v>69</v>
      </c>
    </row>
    <row r="8" spans="2:3" ht="15" thickBot="1" x14ac:dyDescent="0.35">
      <c r="B8" s="66"/>
    </row>
    <row r="9" spans="2:3" ht="15" thickBot="1" x14ac:dyDescent="0.35">
      <c r="B9" t="s">
        <v>67</v>
      </c>
    </row>
    <row r="10" spans="2:3" ht="15" thickBot="1" x14ac:dyDescent="0.35">
      <c r="B10" s="66"/>
    </row>
    <row r="12" spans="2:3" ht="15" thickBot="1" x14ac:dyDescent="0.35">
      <c r="B12" s="51" t="s">
        <v>70</v>
      </c>
    </row>
    <row r="13" spans="2:3" ht="15" thickBot="1" x14ac:dyDescent="0.35">
      <c r="B13" s="50" t="str">
        <f>IF(AND(ISNUMBER(B6),ISNUMBER(B8),ISNUMBER(B10)),((B6+B8)*(1-B10/100)),"")</f>
        <v/>
      </c>
      <c r="C13" t="str">
        <f>IF(ISNUMBER(B13),"Diesen Wert als Eingangsparameter nFK mm/dm im Tabellenblatt 'Berechnung' beim richtigen Horizont eintragen.", "")</f>
        <v/>
      </c>
    </row>
    <row r="18" spans="2:19" ht="15" thickBot="1" x14ac:dyDescent="0.35">
      <c r="B18" t="s">
        <v>140</v>
      </c>
      <c r="G18" t="s">
        <v>142</v>
      </c>
      <c r="O18" t="s">
        <v>143</v>
      </c>
    </row>
    <row r="19" spans="2:19" ht="31.2" customHeight="1" x14ac:dyDescent="0.3">
      <c r="B19" s="75" t="s">
        <v>79</v>
      </c>
      <c r="C19" s="137" t="s">
        <v>139</v>
      </c>
      <c r="D19" s="137"/>
      <c r="E19" s="138"/>
      <c r="G19" s="127" t="s">
        <v>122</v>
      </c>
      <c r="H19" s="144" t="s">
        <v>123</v>
      </c>
      <c r="I19" s="130" t="s">
        <v>124</v>
      </c>
      <c r="J19" s="130"/>
      <c r="K19" s="130"/>
      <c r="L19" s="130"/>
      <c r="M19" s="131"/>
      <c r="O19" s="127" t="s">
        <v>122</v>
      </c>
      <c r="P19" s="130" t="s">
        <v>133</v>
      </c>
      <c r="Q19" s="130"/>
      <c r="R19" s="130"/>
      <c r="S19" s="131"/>
    </row>
    <row r="20" spans="2:19" ht="15" thickBot="1" x14ac:dyDescent="0.35">
      <c r="B20" s="84" t="s">
        <v>83</v>
      </c>
      <c r="C20" s="85" t="s">
        <v>80</v>
      </c>
      <c r="D20" s="85" t="s">
        <v>81</v>
      </c>
      <c r="E20" s="86" t="s">
        <v>82</v>
      </c>
      <c r="G20" s="128"/>
      <c r="H20" s="145"/>
      <c r="I20" s="132" t="s">
        <v>125</v>
      </c>
      <c r="J20" s="132"/>
      <c r="K20" s="132"/>
      <c r="L20" s="132"/>
      <c r="M20" s="133"/>
      <c r="O20" s="128"/>
      <c r="P20" s="132" t="s">
        <v>134</v>
      </c>
      <c r="Q20" s="132"/>
      <c r="R20" s="132"/>
      <c r="S20" s="133"/>
    </row>
    <row r="21" spans="2:19" ht="15" thickBot="1" x14ac:dyDescent="0.35">
      <c r="B21" s="81" t="s">
        <v>84</v>
      </c>
      <c r="C21" s="82">
        <v>9</v>
      </c>
      <c r="D21" s="82">
        <v>7</v>
      </c>
      <c r="E21" s="83">
        <v>7</v>
      </c>
      <c r="G21" s="129"/>
      <c r="H21" s="146"/>
      <c r="I21" s="87" t="s">
        <v>126</v>
      </c>
      <c r="J21" s="87" t="s">
        <v>127</v>
      </c>
      <c r="K21" s="87" t="s">
        <v>128</v>
      </c>
      <c r="L21" s="87" t="s">
        <v>129</v>
      </c>
      <c r="M21" s="88" t="s">
        <v>130</v>
      </c>
      <c r="O21" s="129"/>
      <c r="P21" s="89" t="s">
        <v>135</v>
      </c>
      <c r="Q21" s="89" t="s">
        <v>136</v>
      </c>
      <c r="R21" s="89" t="s">
        <v>137</v>
      </c>
      <c r="S21" s="90" t="s">
        <v>138</v>
      </c>
    </row>
    <row r="22" spans="2:19" x14ac:dyDescent="0.3">
      <c r="B22" s="76" t="s">
        <v>85</v>
      </c>
      <c r="C22" s="73">
        <v>20</v>
      </c>
      <c r="D22" s="73">
        <v>18</v>
      </c>
      <c r="E22" s="77">
        <v>17</v>
      </c>
      <c r="G22" s="81" t="s">
        <v>84</v>
      </c>
      <c r="H22" s="82">
        <v>3</v>
      </c>
      <c r="I22" s="82" t="s">
        <v>120</v>
      </c>
      <c r="J22" s="82" t="s">
        <v>81</v>
      </c>
      <c r="K22" s="82" t="s">
        <v>131</v>
      </c>
      <c r="L22" s="82" t="s">
        <v>132</v>
      </c>
      <c r="M22" s="83" t="s">
        <v>132</v>
      </c>
      <c r="O22" s="81" t="s">
        <v>84</v>
      </c>
      <c r="P22" s="82">
        <v>1</v>
      </c>
      <c r="Q22" s="82">
        <v>3</v>
      </c>
      <c r="R22" s="82">
        <v>4</v>
      </c>
      <c r="S22" s="83">
        <v>5</v>
      </c>
    </row>
    <row r="23" spans="2:19" x14ac:dyDescent="0.3">
      <c r="B23" s="76" t="s">
        <v>86</v>
      </c>
      <c r="C23" s="73">
        <v>22</v>
      </c>
      <c r="D23" s="73">
        <v>18</v>
      </c>
      <c r="E23" s="77">
        <v>17</v>
      </c>
      <c r="G23" s="76" t="s">
        <v>85</v>
      </c>
      <c r="H23" s="73">
        <v>7</v>
      </c>
      <c r="I23" s="73" t="s">
        <v>120</v>
      </c>
      <c r="J23" s="73" t="s">
        <v>81</v>
      </c>
      <c r="K23" s="73" t="s">
        <v>131</v>
      </c>
      <c r="L23" s="73" t="s">
        <v>132</v>
      </c>
      <c r="M23" s="77" t="s">
        <v>132</v>
      </c>
      <c r="O23" s="76" t="s">
        <v>85</v>
      </c>
      <c r="P23" s="73">
        <v>2</v>
      </c>
      <c r="Q23" s="73">
        <v>3</v>
      </c>
      <c r="R23" s="73">
        <v>4</v>
      </c>
      <c r="S23" s="77">
        <v>6</v>
      </c>
    </row>
    <row r="24" spans="2:19" x14ac:dyDescent="0.3">
      <c r="B24" s="76" t="s">
        <v>87</v>
      </c>
      <c r="C24" s="73">
        <v>22</v>
      </c>
      <c r="D24" s="73">
        <v>18</v>
      </c>
      <c r="E24" s="77">
        <v>15</v>
      </c>
      <c r="G24" s="76" t="s">
        <v>86</v>
      </c>
      <c r="H24" s="73">
        <v>10</v>
      </c>
      <c r="I24" s="73" t="s">
        <v>120</v>
      </c>
      <c r="J24" s="73" t="s">
        <v>81</v>
      </c>
      <c r="K24" s="73" t="s">
        <v>131</v>
      </c>
      <c r="L24" s="73" t="s">
        <v>132</v>
      </c>
      <c r="M24" s="77" t="s">
        <v>132</v>
      </c>
      <c r="O24" s="76" t="s">
        <v>86</v>
      </c>
      <c r="P24" s="73">
        <v>1</v>
      </c>
      <c r="Q24" s="73">
        <v>3</v>
      </c>
      <c r="R24" s="73">
        <v>4</v>
      </c>
      <c r="S24" s="77">
        <v>6</v>
      </c>
    </row>
    <row r="25" spans="2:19" x14ac:dyDescent="0.3">
      <c r="B25" s="76" t="s">
        <v>88</v>
      </c>
      <c r="C25" s="73">
        <v>23</v>
      </c>
      <c r="D25" s="73">
        <v>21</v>
      </c>
      <c r="E25" s="77">
        <v>19</v>
      </c>
      <c r="G25" s="76" t="s">
        <v>87</v>
      </c>
      <c r="H25" s="73">
        <v>15</v>
      </c>
      <c r="I25" s="73" t="s">
        <v>119</v>
      </c>
      <c r="J25" s="73" t="s">
        <v>120</v>
      </c>
      <c r="K25" s="73" t="s">
        <v>81</v>
      </c>
      <c r="L25" s="73" t="s">
        <v>131</v>
      </c>
      <c r="M25" s="77" t="s">
        <v>132</v>
      </c>
      <c r="O25" s="76" t="s">
        <v>87</v>
      </c>
      <c r="P25" s="73">
        <v>2</v>
      </c>
      <c r="Q25" s="73">
        <v>4</v>
      </c>
      <c r="R25" s="73">
        <v>5</v>
      </c>
      <c r="S25" s="77">
        <v>6</v>
      </c>
    </row>
    <row r="26" spans="2:19" x14ac:dyDescent="0.3">
      <c r="B26" s="76" t="s">
        <v>89</v>
      </c>
      <c r="C26" s="73">
        <v>18</v>
      </c>
      <c r="D26" s="73">
        <v>16</v>
      </c>
      <c r="E26" s="77">
        <v>13</v>
      </c>
      <c r="G26" s="76" t="s">
        <v>88</v>
      </c>
      <c r="H26" s="73">
        <v>13</v>
      </c>
      <c r="I26" s="73" t="s">
        <v>119</v>
      </c>
      <c r="J26" s="73" t="s">
        <v>120</v>
      </c>
      <c r="K26" s="73" t="s">
        <v>81</v>
      </c>
      <c r="L26" s="73" t="s">
        <v>131</v>
      </c>
      <c r="M26" s="77" t="s">
        <v>132</v>
      </c>
      <c r="O26" s="76" t="s">
        <v>88</v>
      </c>
      <c r="P26" s="73">
        <v>1</v>
      </c>
      <c r="Q26" s="73">
        <v>2</v>
      </c>
      <c r="R26" s="73">
        <v>4</v>
      </c>
      <c r="S26" s="77">
        <v>6</v>
      </c>
    </row>
    <row r="27" spans="2:19" x14ac:dyDescent="0.3">
      <c r="B27" s="76" t="s">
        <v>90</v>
      </c>
      <c r="C27" s="73">
        <v>18</v>
      </c>
      <c r="D27" s="73">
        <v>15</v>
      </c>
      <c r="E27" s="77">
        <v>12</v>
      </c>
      <c r="G27" s="76" t="s">
        <v>89</v>
      </c>
      <c r="H27" s="73">
        <v>11</v>
      </c>
      <c r="I27" s="73" t="s">
        <v>120</v>
      </c>
      <c r="J27" s="73" t="s">
        <v>81</v>
      </c>
      <c r="K27" s="73" t="s">
        <v>131</v>
      </c>
      <c r="L27" s="73" t="s">
        <v>132</v>
      </c>
      <c r="M27" s="77" t="s">
        <v>132</v>
      </c>
      <c r="O27" s="76" t="s">
        <v>89</v>
      </c>
      <c r="P27" s="73">
        <v>3</v>
      </c>
      <c r="Q27" s="73">
        <v>4</v>
      </c>
      <c r="R27" s="73">
        <v>5</v>
      </c>
      <c r="S27" s="77">
        <v>7</v>
      </c>
    </row>
    <row r="28" spans="2:19" x14ac:dyDescent="0.3">
      <c r="B28" s="76" t="s">
        <v>91</v>
      </c>
      <c r="C28" s="73">
        <v>20</v>
      </c>
      <c r="D28" s="73">
        <v>18</v>
      </c>
      <c r="E28" s="77">
        <v>17</v>
      </c>
      <c r="G28" s="76" t="s">
        <v>90</v>
      </c>
      <c r="H28" s="73">
        <v>21</v>
      </c>
      <c r="I28" s="73" t="s">
        <v>119</v>
      </c>
      <c r="J28" s="73" t="s">
        <v>120</v>
      </c>
      <c r="K28" s="73" t="s">
        <v>81</v>
      </c>
      <c r="L28" s="73" t="s">
        <v>131</v>
      </c>
      <c r="M28" s="77" t="s">
        <v>132</v>
      </c>
      <c r="O28" s="76" t="s">
        <v>90</v>
      </c>
      <c r="P28" s="73">
        <v>2</v>
      </c>
      <c r="Q28" s="73">
        <v>4</v>
      </c>
      <c r="R28" s="73">
        <v>6</v>
      </c>
      <c r="S28" s="77">
        <v>9</v>
      </c>
    </row>
    <row r="29" spans="2:19" x14ac:dyDescent="0.3">
      <c r="B29" s="76" t="s">
        <v>92</v>
      </c>
      <c r="C29" s="73">
        <v>25</v>
      </c>
      <c r="D29" s="73">
        <v>21</v>
      </c>
      <c r="E29" s="77">
        <v>20</v>
      </c>
      <c r="G29" s="76" t="s">
        <v>91</v>
      </c>
      <c r="H29" s="73">
        <v>3</v>
      </c>
      <c r="I29" s="73" t="s">
        <v>120</v>
      </c>
      <c r="J29" s="73" t="s">
        <v>81</v>
      </c>
      <c r="K29" s="73" t="s">
        <v>131</v>
      </c>
      <c r="L29" s="73" t="s">
        <v>132</v>
      </c>
      <c r="M29" s="77" t="s">
        <v>132</v>
      </c>
      <c r="O29" s="76" t="s">
        <v>91</v>
      </c>
      <c r="P29" s="73">
        <v>2</v>
      </c>
      <c r="Q29" s="73">
        <v>3</v>
      </c>
      <c r="R29" s="73">
        <v>4</v>
      </c>
      <c r="S29" s="77">
        <v>6</v>
      </c>
    </row>
    <row r="30" spans="2:19" x14ac:dyDescent="0.3">
      <c r="B30" s="76" t="s">
        <v>93</v>
      </c>
      <c r="C30" s="73">
        <v>27</v>
      </c>
      <c r="D30" s="73">
        <v>23</v>
      </c>
      <c r="E30" s="77">
        <v>21</v>
      </c>
      <c r="G30" s="76" t="s">
        <v>92</v>
      </c>
      <c r="H30" s="73">
        <v>4</v>
      </c>
      <c r="I30" s="73" t="s">
        <v>120</v>
      </c>
      <c r="J30" s="73" t="s">
        <v>81</v>
      </c>
      <c r="K30" s="73" t="s">
        <v>131</v>
      </c>
      <c r="L30" s="73" t="s">
        <v>132</v>
      </c>
      <c r="M30" s="77" t="s">
        <v>132</v>
      </c>
      <c r="O30" s="76" t="s">
        <v>92</v>
      </c>
      <c r="P30" s="73">
        <v>1</v>
      </c>
      <c r="Q30" s="73">
        <v>3</v>
      </c>
      <c r="R30" s="73">
        <v>3</v>
      </c>
      <c r="S30" s="77">
        <v>4</v>
      </c>
    </row>
    <row r="31" spans="2:19" x14ac:dyDescent="0.3">
      <c r="B31" s="76" t="s">
        <v>94</v>
      </c>
      <c r="C31" s="73">
        <v>21</v>
      </c>
      <c r="D31" s="73">
        <v>16</v>
      </c>
      <c r="E31" s="77">
        <v>14</v>
      </c>
      <c r="G31" s="76" t="s">
        <v>93</v>
      </c>
      <c r="H31" s="73">
        <v>4</v>
      </c>
      <c r="I31" s="73" t="s">
        <v>120</v>
      </c>
      <c r="J31" s="73" t="s">
        <v>81</v>
      </c>
      <c r="K31" s="73" t="s">
        <v>131</v>
      </c>
      <c r="L31" s="73" t="s">
        <v>132</v>
      </c>
      <c r="M31" s="77" t="s">
        <v>132</v>
      </c>
      <c r="O31" s="76" t="s">
        <v>93</v>
      </c>
      <c r="P31" s="73">
        <v>1</v>
      </c>
      <c r="Q31" s="73">
        <v>2</v>
      </c>
      <c r="R31" s="73">
        <v>3</v>
      </c>
      <c r="S31" s="77">
        <v>4</v>
      </c>
    </row>
    <row r="32" spans="2:19" x14ac:dyDescent="0.3">
      <c r="B32" s="76" t="s">
        <v>95</v>
      </c>
      <c r="C32" s="73">
        <v>21</v>
      </c>
      <c r="D32" s="73">
        <v>16</v>
      </c>
      <c r="E32" s="77">
        <v>14</v>
      </c>
      <c r="G32" s="76" t="s">
        <v>94</v>
      </c>
      <c r="H32" s="73">
        <v>21</v>
      </c>
      <c r="I32" s="73" t="s">
        <v>119</v>
      </c>
      <c r="J32" s="73" t="s">
        <v>120</v>
      </c>
      <c r="K32" s="73" t="s">
        <v>81</v>
      </c>
      <c r="L32" s="73" t="s">
        <v>131</v>
      </c>
      <c r="M32" s="77" t="s">
        <v>132</v>
      </c>
      <c r="O32" s="76" t="s">
        <v>94</v>
      </c>
      <c r="P32" s="73">
        <v>1</v>
      </c>
      <c r="Q32" s="73">
        <v>3</v>
      </c>
      <c r="R32" s="73">
        <v>5</v>
      </c>
      <c r="S32" s="77">
        <v>8</v>
      </c>
    </row>
    <row r="33" spans="2:19" x14ac:dyDescent="0.3">
      <c r="B33" s="76" t="s">
        <v>96</v>
      </c>
      <c r="C33" s="73">
        <v>20</v>
      </c>
      <c r="D33" s="73">
        <v>16</v>
      </c>
      <c r="E33" s="77">
        <v>13</v>
      </c>
      <c r="G33" s="76" t="s">
        <v>95</v>
      </c>
      <c r="H33" s="73">
        <v>21</v>
      </c>
      <c r="I33" s="73" t="s">
        <v>119</v>
      </c>
      <c r="J33" s="73" t="s">
        <v>120</v>
      </c>
      <c r="K33" s="73" t="s">
        <v>81</v>
      </c>
      <c r="L33" s="73" t="s">
        <v>131</v>
      </c>
      <c r="M33" s="77" t="s">
        <v>132</v>
      </c>
      <c r="O33" s="76" t="s">
        <v>95</v>
      </c>
      <c r="P33" s="73">
        <v>1</v>
      </c>
      <c r="Q33" s="73">
        <v>3</v>
      </c>
      <c r="R33" s="73">
        <v>5</v>
      </c>
      <c r="S33" s="77">
        <v>8</v>
      </c>
    </row>
    <row r="34" spans="2:19" x14ac:dyDescent="0.3">
      <c r="B34" s="76" t="s">
        <v>97</v>
      </c>
      <c r="C34" s="73">
        <v>18</v>
      </c>
      <c r="D34" s="73">
        <v>14</v>
      </c>
      <c r="E34" s="77">
        <v>11</v>
      </c>
      <c r="G34" s="76" t="s">
        <v>96</v>
      </c>
      <c r="H34" s="73">
        <v>21</v>
      </c>
      <c r="I34" s="73" t="s">
        <v>119</v>
      </c>
      <c r="J34" s="73" t="s">
        <v>120</v>
      </c>
      <c r="K34" s="73" t="s">
        <v>81</v>
      </c>
      <c r="L34" s="73" t="s">
        <v>131</v>
      </c>
      <c r="M34" s="77" t="s">
        <v>132</v>
      </c>
      <c r="O34" s="76" t="s">
        <v>96</v>
      </c>
      <c r="P34" s="73">
        <v>2</v>
      </c>
      <c r="Q34" s="73">
        <v>4</v>
      </c>
      <c r="R34" s="73">
        <v>6</v>
      </c>
      <c r="S34" s="77">
        <v>8</v>
      </c>
    </row>
    <row r="35" spans="2:19" x14ac:dyDescent="0.3">
      <c r="B35" s="76" t="s">
        <v>98</v>
      </c>
      <c r="C35" s="73">
        <v>17</v>
      </c>
      <c r="D35" s="73">
        <v>12</v>
      </c>
      <c r="E35" s="77">
        <v>10</v>
      </c>
      <c r="G35" s="76" t="s">
        <v>97</v>
      </c>
      <c r="H35" s="73">
        <v>30</v>
      </c>
      <c r="I35" s="73" t="s">
        <v>119</v>
      </c>
      <c r="J35" s="73" t="s">
        <v>120</v>
      </c>
      <c r="K35" s="73" t="s">
        <v>81</v>
      </c>
      <c r="L35" s="73" t="s">
        <v>131</v>
      </c>
      <c r="M35" s="77" t="s">
        <v>132</v>
      </c>
      <c r="O35" s="76" t="s">
        <v>97</v>
      </c>
      <c r="P35" s="73">
        <v>3</v>
      </c>
      <c r="Q35" s="73">
        <v>5</v>
      </c>
      <c r="R35" s="73">
        <v>8</v>
      </c>
      <c r="S35" s="77">
        <v>10</v>
      </c>
    </row>
    <row r="36" spans="2:19" x14ac:dyDescent="0.3">
      <c r="B36" s="76" t="s">
        <v>117</v>
      </c>
      <c r="C36" s="73">
        <v>17</v>
      </c>
      <c r="D36" s="73">
        <v>14</v>
      </c>
      <c r="E36" s="77">
        <v>11</v>
      </c>
      <c r="G36" s="76" t="s">
        <v>98</v>
      </c>
      <c r="H36" s="73">
        <v>40</v>
      </c>
      <c r="I36" s="73" t="s">
        <v>119</v>
      </c>
      <c r="J36" s="73" t="s">
        <v>119</v>
      </c>
      <c r="K36" s="73" t="s">
        <v>120</v>
      </c>
      <c r="L36" s="73" t="s">
        <v>81</v>
      </c>
      <c r="M36" s="77" t="s">
        <v>131</v>
      </c>
      <c r="O36" s="76" t="s">
        <v>98</v>
      </c>
      <c r="P36" s="73">
        <v>2</v>
      </c>
      <c r="Q36" s="73">
        <v>4</v>
      </c>
      <c r="R36" s="73">
        <v>8</v>
      </c>
      <c r="S36" s="77">
        <v>11</v>
      </c>
    </row>
    <row r="37" spans="2:19" x14ac:dyDescent="0.3">
      <c r="B37" s="76" t="s">
        <v>99</v>
      </c>
      <c r="C37" s="73">
        <v>21</v>
      </c>
      <c r="D37" s="73">
        <v>17</v>
      </c>
      <c r="E37" s="77">
        <v>15</v>
      </c>
      <c r="G37" s="76" t="s">
        <v>117</v>
      </c>
      <c r="H37" s="73">
        <v>35</v>
      </c>
      <c r="I37" s="73" t="s">
        <v>119</v>
      </c>
      <c r="J37" s="73" t="s">
        <v>119</v>
      </c>
      <c r="K37" s="73" t="s">
        <v>120</v>
      </c>
      <c r="L37" s="73" t="s">
        <v>81</v>
      </c>
      <c r="M37" s="77" t="s">
        <v>131</v>
      </c>
      <c r="O37" s="76" t="s">
        <v>117</v>
      </c>
      <c r="P37" s="73">
        <v>3</v>
      </c>
      <c r="Q37" s="73">
        <v>5</v>
      </c>
      <c r="R37" s="73">
        <v>7</v>
      </c>
      <c r="S37" s="77">
        <v>9</v>
      </c>
    </row>
    <row r="38" spans="2:19" x14ac:dyDescent="0.3">
      <c r="B38" s="76" t="s">
        <v>100</v>
      </c>
      <c r="C38" s="73">
        <v>30</v>
      </c>
      <c r="D38" s="73">
        <v>26</v>
      </c>
      <c r="E38" s="77">
        <v>23</v>
      </c>
      <c r="G38" s="76" t="s">
        <v>99</v>
      </c>
      <c r="H38" s="73">
        <v>24</v>
      </c>
      <c r="I38" s="73" t="s">
        <v>119</v>
      </c>
      <c r="J38" s="73" t="s">
        <v>120</v>
      </c>
      <c r="K38" s="73" t="s">
        <v>81</v>
      </c>
      <c r="L38" s="73" t="s">
        <v>131</v>
      </c>
      <c r="M38" s="77" t="s">
        <v>132</v>
      </c>
      <c r="O38" s="76" t="s">
        <v>99</v>
      </c>
      <c r="P38" s="73">
        <v>3</v>
      </c>
      <c r="Q38" s="73">
        <v>5</v>
      </c>
      <c r="R38" s="73">
        <v>7</v>
      </c>
      <c r="S38" s="77">
        <v>8</v>
      </c>
    </row>
    <row r="39" spans="2:19" x14ac:dyDescent="0.3">
      <c r="B39" s="76" t="s">
        <v>101</v>
      </c>
      <c r="C39" s="73">
        <v>24</v>
      </c>
      <c r="D39" s="73">
        <v>22</v>
      </c>
      <c r="E39" s="77">
        <v>21</v>
      </c>
      <c r="G39" s="76" t="s">
        <v>100</v>
      </c>
      <c r="H39" s="73">
        <v>4</v>
      </c>
      <c r="I39" s="73" t="s">
        <v>120</v>
      </c>
      <c r="J39" s="73" t="s">
        <v>81</v>
      </c>
      <c r="K39" s="73" t="s">
        <v>131</v>
      </c>
      <c r="L39" s="73" t="s">
        <v>132</v>
      </c>
      <c r="M39" s="77" t="s">
        <v>132</v>
      </c>
      <c r="O39" s="76" t="s">
        <v>100</v>
      </c>
      <c r="P39" s="73">
        <v>1</v>
      </c>
      <c r="Q39" s="73">
        <v>2</v>
      </c>
      <c r="R39" s="73">
        <v>3</v>
      </c>
      <c r="S39" s="77">
        <v>4</v>
      </c>
    </row>
    <row r="40" spans="2:19" x14ac:dyDescent="0.3">
      <c r="B40" s="76" t="s">
        <v>102</v>
      </c>
      <c r="C40" s="73">
        <v>28</v>
      </c>
      <c r="D40" s="73">
        <v>25</v>
      </c>
      <c r="E40" s="77">
        <v>22</v>
      </c>
      <c r="G40" s="76" t="s">
        <v>101</v>
      </c>
      <c r="H40" s="73">
        <v>13</v>
      </c>
      <c r="I40" s="73" t="s">
        <v>119</v>
      </c>
      <c r="J40" s="73" t="s">
        <v>120</v>
      </c>
      <c r="K40" s="73" t="s">
        <v>81</v>
      </c>
      <c r="L40" s="73" t="s">
        <v>131</v>
      </c>
      <c r="M40" s="77" t="s">
        <v>132</v>
      </c>
      <c r="O40" s="76" t="s">
        <v>101</v>
      </c>
      <c r="P40" s="73">
        <v>3</v>
      </c>
      <c r="Q40" s="73">
        <v>4</v>
      </c>
      <c r="R40" s="73">
        <v>4</v>
      </c>
      <c r="S40" s="77">
        <v>7</v>
      </c>
    </row>
    <row r="41" spans="2:19" x14ac:dyDescent="0.3">
      <c r="B41" s="76" t="s">
        <v>103</v>
      </c>
      <c r="C41" s="73">
        <v>28</v>
      </c>
      <c r="D41" s="73">
        <v>26</v>
      </c>
      <c r="E41" s="77">
        <v>23</v>
      </c>
      <c r="G41" s="76" t="s">
        <v>102</v>
      </c>
      <c r="H41" s="73">
        <v>4</v>
      </c>
      <c r="I41" s="73" t="s">
        <v>120</v>
      </c>
      <c r="J41" s="73" t="s">
        <v>81</v>
      </c>
      <c r="K41" s="73" t="s">
        <v>131</v>
      </c>
      <c r="L41" s="73" t="s">
        <v>132</v>
      </c>
      <c r="M41" s="77" t="s">
        <v>132</v>
      </c>
      <c r="O41" s="76" t="s">
        <v>102</v>
      </c>
      <c r="P41" s="73">
        <v>1</v>
      </c>
      <c r="Q41" s="73">
        <v>2</v>
      </c>
      <c r="R41" s="73">
        <v>3</v>
      </c>
      <c r="S41" s="77">
        <v>4</v>
      </c>
    </row>
    <row r="42" spans="2:19" x14ac:dyDescent="0.3">
      <c r="B42" s="76" t="s">
        <v>104</v>
      </c>
      <c r="C42" s="73">
        <v>26</v>
      </c>
      <c r="D42" s="73">
        <v>25</v>
      </c>
      <c r="E42" s="77">
        <v>23</v>
      </c>
      <c r="G42" s="76" t="s">
        <v>103</v>
      </c>
      <c r="H42" s="73">
        <v>10</v>
      </c>
      <c r="I42" s="73" t="s">
        <v>120</v>
      </c>
      <c r="J42" s="73" t="s">
        <v>81</v>
      </c>
      <c r="K42" s="73" t="s">
        <v>131</v>
      </c>
      <c r="L42" s="73" t="s">
        <v>132</v>
      </c>
      <c r="M42" s="77" t="s">
        <v>132</v>
      </c>
      <c r="O42" s="76" t="s">
        <v>103</v>
      </c>
      <c r="P42" s="73">
        <v>1</v>
      </c>
      <c r="Q42" s="73">
        <v>1</v>
      </c>
      <c r="R42" s="73">
        <v>2</v>
      </c>
      <c r="S42" s="77">
        <v>4</v>
      </c>
    </row>
    <row r="43" spans="2:19" x14ac:dyDescent="0.3">
      <c r="B43" s="76" t="s">
        <v>105</v>
      </c>
      <c r="C43" s="73">
        <v>23</v>
      </c>
      <c r="D43" s="73">
        <v>21</v>
      </c>
      <c r="E43" s="77">
        <v>19</v>
      </c>
      <c r="G43" s="76" t="s">
        <v>104</v>
      </c>
      <c r="H43" s="73">
        <v>14</v>
      </c>
      <c r="I43" s="73" t="s">
        <v>119</v>
      </c>
      <c r="J43" s="73" t="s">
        <v>120</v>
      </c>
      <c r="K43" s="73" t="s">
        <v>81</v>
      </c>
      <c r="L43" s="73" t="s">
        <v>131</v>
      </c>
      <c r="M43" s="77" t="s">
        <v>132</v>
      </c>
      <c r="O43" s="76" t="s">
        <v>104</v>
      </c>
      <c r="P43" s="73">
        <v>1</v>
      </c>
      <c r="Q43" s="73">
        <v>1</v>
      </c>
      <c r="R43" s="73">
        <v>2</v>
      </c>
      <c r="S43" s="77">
        <v>4</v>
      </c>
    </row>
    <row r="44" spans="2:19" x14ac:dyDescent="0.3">
      <c r="B44" s="76" t="s">
        <v>106</v>
      </c>
      <c r="C44" s="73">
        <v>15</v>
      </c>
      <c r="D44" s="73">
        <v>13</v>
      </c>
      <c r="E44" s="77">
        <v>12</v>
      </c>
      <c r="G44" s="76" t="s">
        <v>105</v>
      </c>
      <c r="H44" s="73">
        <v>21</v>
      </c>
      <c r="I44" s="73" t="s">
        <v>119</v>
      </c>
      <c r="J44" s="73" t="s">
        <v>120</v>
      </c>
      <c r="K44" s="73" t="s">
        <v>81</v>
      </c>
      <c r="L44" s="73" t="s">
        <v>131</v>
      </c>
      <c r="M44" s="77" t="s">
        <v>132</v>
      </c>
      <c r="O44" s="76" t="s">
        <v>105</v>
      </c>
      <c r="P44" s="73">
        <v>2</v>
      </c>
      <c r="Q44" s="73">
        <v>3</v>
      </c>
      <c r="R44" s="73">
        <v>4</v>
      </c>
      <c r="S44" s="77">
        <v>6</v>
      </c>
    </row>
    <row r="45" spans="2:19" x14ac:dyDescent="0.3">
      <c r="B45" s="76" t="s">
        <v>107</v>
      </c>
      <c r="C45" s="73">
        <v>15</v>
      </c>
      <c r="D45" s="73">
        <v>13</v>
      </c>
      <c r="E45" s="77">
        <v>11</v>
      </c>
      <c r="G45" s="76" t="s">
        <v>106</v>
      </c>
      <c r="H45" s="73">
        <v>75</v>
      </c>
      <c r="I45" s="73" t="s">
        <v>119</v>
      </c>
      <c r="J45" s="73" t="s">
        <v>119</v>
      </c>
      <c r="K45" s="73" t="s">
        <v>119</v>
      </c>
      <c r="L45" s="73" t="s">
        <v>120</v>
      </c>
      <c r="M45" s="77" t="s">
        <v>81</v>
      </c>
      <c r="O45" s="76" t="s">
        <v>106</v>
      </c>
      <c r="P45" s="73">
        <v>2</v>
      </c>
      <c r="Q45" s="73">
        <v>4</v>
      </c>
      <c r="R45" s="73">
        <v>5</v>
      </c>
      <c r="S45" s="77">
        <v>7</v>
      </c>
    </row>
    <row r="46" spans="2:19" x14ac:dyDescent="0.3">
      <c r="B46" s="76" t="s">
        <v>108</v>
      </c>
      <c r="C46" s="73">
        <v>16</v>
      </c>
      <c r="D46" s="73">
        <v>12</v>
      </c>
      <c r="E46" s="77">
        <v>10</v>
      </c>
      <c r="G46" s="76" t="s">
        <v>107</v>
      </c>
      <c r="H46" s="73">
        <v>55</v>
      </c>
      <c r="I46" s="73" t="s">
        <v>119</v>
      </c>
      <c r="J46" s="73" t="s">
        <v>119</v>
      </c>
      <c r="K46" s="73" t="s">
        <v>120</v>
      </c>
      <c r="L46" s="73" t="s">
        <v>81</v>
      </c>
      <c r="M46" s="77" t="s">
        <v>131</v>
      </c>
      <c r="O46" s="76" t="s">
        <v>107</v>
      </c>
      <c r="P46" s="73">
        <v>2</v>
      </c>
      <c r="Q46" s="73">
        <v>4</v>
      </c>
      <c r="R46" s="73">
        <v>6</v>
      </c>
      <c r="S46" s="77">
        <v>8</v>
      </c>
    </row>
    <row r="47" spans="2:19" x14ac:dyDescent="0.3">
      <c r="B47" s="76" t="s">
        <v>109</v>
      </c>
      <c r="C47" s="73">
        <v>17</v>
      </c>
      <c r="D47" s="73">
        <v>13</v>
      </c>
      <c r="E47" s="77">
        <v>10</v>
      </c>
      <c r="G47" s="76" t="s">
        <v>108</v>
      </c>
      <c r="H47" s="73">
        <v>52</v>
      </c>
      <c r="I47" s="73" t="s">
        <v>119</v>
      </c>
      <c r="J47" s="73" t="s">
        <v>119</v>
      </c>
      <c r="K47" s="73" t="s">
        <v>120</v>
      </c>
      <c r="L47" s="73" t="s">
        <v>81</v>
      </c>
      <c r="M47" s="77" t="s">
        <v>131</v>
      </c>
      <c r="O47" s="76" t="s">
        <v>108</v>
      </c>
      <c r="P47" s="73">
        <v>1</v>
      </c>
      <c r="Q47" s="73">
        <v>3</v>
      </c>
      <c r="R47" s="73">
        <v>5</v>
      </c>
      <c r="S47" s="77">
        <v>8</v>
      </c>
    </row>
    <row r="48" spans="2:19" x14ac:dyDescent="0.3">
      <c r="B48" s="76" t="s">
        <v>110</v>
      </c>
      <c r="C48" s="73">
        <v>19</v>
      </c>
      <c r="D48" s="73">
        <v>17</v>
      </c>
      <c r="E48" s="77">
        <v>16</v>
      </c>
      <c r="G48" s="76" t="s">
        <v>109</v>
      </c>
      <c r="H48" s="73">
        <v>36</v>
      </c>
      <c r="I48" s="73" t="s">
        <v>119</v>
      </c>
      <c r="J48" s="73" t="s">
        <v>119</v>
      </c>
      <c r="K48" s="73" t="s">
        <v>120</v>
      </c>
      <c r="L48" s="73" t="s">
        <v>81</v>
      </c>
      <c r="M48" s="77" t="s">
        <v>131</v>
      </c>
      <c r="O48" s="76" t="s">
        <v>109</v>
      </c>
      <c r="P48" s="73">
        <v>2</v>
      </c>
      <c r="Q48" s="73">
        <v>4</v>
      </c>
      <c r="R48" s="73">
        <v>7</v>
      </c>
      <c r="S48" s="77">
        <v>9</v>
      </c>
    </row>
    <row r="49" spans="2:19" x14ac:dyDescent="0.3">
      <c r="B49" s="76" t="s">
        <v>111</v>
      </c>
      <c r="C49" s="73">
        <v>16</v>
      </c>
      <c r="D49" s="73">
        <v>13</v>
      </c>
      <c r="E49" s="77">
        <v>12</v>
      </c>
      <c r="G49" s="76" t="s">
        <v>110</v>
      </c>
      <c r="H49" s="73">
        <v>28</v>
      </c>
      <c r="I49" s="73" t="s">
        <v>119</v>
      </c>
      <c r="J49" s="73" t="s">
        <v>120</v>
      </c>
      <c r="K49" s="73" t="s">
        <v>81</v>
      </c>
      <c r="L49" s="73" t="s">
        <v>131</v>
      </c>
      <c r="M49" s="77" t="s">
        <v>132</v>
      </c>
      <c r="O49" s="76" t="s">
        <v>110</v>
      </c>
      <c r="P49" s="73">
        <v>3</v>
      </c>
      <c r="Q49" s="73">
        <v>5</v>
      </c>
      <c r="R49" s="73">
        <v>6</v>
      </c>
      <c r="S49" s="77">
        <v>8</v>
      </c>
    </row>
    <row r="50" spans="2:19" x14ac:dyDescent="0.3">
      <c r="B50" s="76" t="s">
        <v>112</v>
      </c>
      <c r="C50" s="73">
        <v>16</v>
      </c>
      <c r="D50" s="73">
        <v>13</v>
      </c>
      <c r="E50" s="77">
        <v>11</v>
      </c>
      <c r="G50" s="76" t="s">
        <v>111</v>
      </c>
      <c r="H50" s="73">
        <v>55</v>
      </c>
      <c r="I50" s="73" t="s">
        <v>119</v>
      </c>
      <c r="J50" s="73" t="s">
        <v>119</v>
      </c>
      <c r="K50" s="73" t="s">
        <v>120</v>
      </c>
      <c r="L50" s="73" t="s">
        <v>81</v>
      </c>
      <c r="M50" s="77" t="s">
        <v>131</v>
      </c>
      <c r="O50" s="76" t="s">
        <v>111</v>
      </c>
      <c r="P50" s="73">
        <v>2</v>
      </c>
      <c r="Q50" s="73">
        <v>4</v>
      </c>
      <c r="R50" s="73">
        <v>6</v>
      </c>
      <c r="S50" s="77">
        <v>8</v>
      </c>
    </row>
    <row r="51" spans="2:19" x14ac:dyDescent="0.3">
      <c r="B51" s="76" t="s">
        <v>113</v>
      </c>
      <c r="C51" s="74">
        <v>17</v>
      </c>
      <c r="D51" s="73">
        <v>14</v>
      </c>
      <c r="E51" s="77">
        <v>11</v>
      </c>
      <c r="G51" s="76" t="s">
        <v>112</v>
      </c>
      <c r="H51" s="73">
        <v>40</v>
      </c>
      <c r="I51" s="73" t="s">
        <v>119</v>
      </c>
      <c r="J51" s="73" t="s">
        <v>119</v>
      </c>
      <c r="K51" s="73" t="s">
        <v>120</v>
      </c>
      <c r="L51" s="73" t="s">
        <v>81</v>
      </c>
      <c r="M51" s="77" t="s">
        <v>131</v>
      </c>
      <c r="O51" s="76" t="s">
        <v>112</v>
      </c>
      <c r="P51" s="73">
        <v>2</v>
      </c>
      <c r="Q51" s="73">
        <v>5</v>
      </c>
      <c r="R51" s="73">
        <v>7</v>
      </c>
      <c r="S51" s="77">
        <v>9</v>
      </c>
    </row>
    <row r="52" spans="2:19" ht="15" thickBot="1" x14ac:dyDescent="0.35">
      <c r="B52" s="76" t="s">
        <v>114</v>
      </c>
      <c r="C52" s="139"/>
      <c r="D52" s="140"/>
      <c r="E52" s="141"/>
      <c r="G52" s="78" t="s">
        <v>113</v>
      </c>
      <c r="H52" s="79">
        <v>30</v>
      </c>
      <c r="I52" s="79" t="s">
        <v>119</v>
      </c>
      <c r="J52" s="79" t="s">
        <v>120</v>
      </c>
      <c r="K52" s="79" t="s">
        <v>81</v>
      </c>
      <c r="L52" s="79" t="s">
        <v>131</v>
      </c>
      <c r="M52" s="80" t="s">
        <v>132</v>
      </c>
      <c r="O52" s="78" t="s">
        <v>113</v>
      </c>
      <c r="P52" s="79">
        <v>2</v>
      </c>
      <c r="Q52" s="79">
        <v>4</v>
      </c>
      <c r="R52" s="79">
        <v>7</v>
      </c>
      <c r="S52" s="80">
        <v>9</v>
      </c>
    </row>
    <row r="53" spans="2:19" x14ac:dyDescent="0.3">
      <c r="B53" s="76" t="s">
        <v>115</v>
      </c>
      <c r="C53" s="73">
        <v>10</v>
      </c>
      <c r="D53" s="73">
        <v>9</v>
      </c>
      <c r="E53" s="77">
        <v>8</v>
      </c>
    </row>
    <row r="54" spans="2:19" x14ac:dyDescent="0.3">
      <c r="B54" s="76" t="s">
        <v>118</v>
      </c>
      <c r="C54" s="73">
        <v>9</v>
      </c>
      <c r="D54" s="73">
        <v>6</v>
      </c>
      <c r="E54" s="77">
        <v>5</v>
      </c>
      <c r="G54" s="108" t="s">
        <v>147</v>
      </c>
    </row>
    <row r="55" spans="2:19" ht="15" thickBot="1" x14ac:dyDescent="0.35">
      <c r="B55" s="78" t="s">
        <v>116</v>
      </c>
      <c r="C55" s="79">
        <v>8</v>
      </c>
      <c r="D55" s="79">
        <v>5</v>
      </c>
      <c r="E55" s="80">
        <v>4</v>
      </c>
      <c r="G55" s="108" t="s">
        <v>145</v>
      </c>
    </row>
    <row r="56" spans="2:19" x14ac:dyDescent="0.3">
      <c r="G56" s="108" t="s">
        <v>146</v>
      </c>
    </row>
    <row r="57" spans="2:19" ht="43.8" customHeight="1" thickBot="1" x14ac:dyDescent="0.35">
      <c r="B57" s="136" t="s">
        <v>141</v>
      </c>
      <c r="C57" s="136"/>
      <c r="D57" s="136"/>
      <c r="G57" s="109" t="s">
        <v>148</v>
      </c>
    </row>
    <row r="58" spans="2:19" ht="30" customHeight="1" x14ac:dyDescent="0.3">
      <c r="B58" s="134" t="s">
        <v>83</v>
      </c>
      <c r="C58" s="142" t="s">
        <v>121</v>
      </c>
      <c r="D58" s="143"/>
    </row>
    <row r="59" spans="2:19" ht="15.6" customHeight="1" thickBot="1" x14ac:dyDescent="0.35">
      <c r="B59" s="135"/>
      <c r="C59" s="100" t="s">
        <v>119</v>
      </c>
      <c r="D59" s="101" t="s">
        <v>120</v>
      </c>
    </row>
    <row r="60" spans="2:19" x14ac:dyDescent="0.3">
      <c r="B60" s="97" t="s">
        <v>98</v>
      </c>
      <c r="C60" s="98">
        <v>20</v>
      </c>
      <c r="D60" s="99">
        <v>14</v>
      </c>
    </row>
    <row r="61" spans="2:19" x14ac:dyDescent="0.3">
      <c r="B61" s="91" t="s">
        <v>117</v>
      </c>
      <c r="C61" s="92">
        <v>21</v>
      </c>
      <c r="D61" s="93">
        <v>17</v>
      </c>
    </row>
    <row r="62" spans="2:19" x14ac:dyDescent="0.3">
      <c r="B62" s="91" t="s">
        <v>106</v>
      </c>
      <c r="C62" s="92">
        <v>20</v>
      </c>
      <c r="D62" s="93">
        <v>15</v>
      </c>
    </row>
    <row r="63" spans="2:19" x14ac:dyDescent="0.3">
      <c r="B63" s="91" t="s">
        <v>107</v>
      </c>
      <c r="C63" s="92">
        <v>19</v>
      </c>
      <c r="D63" s="93">
        <v>14</v>
      </c>
    </row>
    <row r="64" spans="2:19" x14ac:dyDescent="0.3">
      <c r="B64" s="91" t="s">
        <v>108</v>
      </c>
      <c r="C64" s="92">
        <v>20</v>
      </c>
      <c r="D64" s="93">
        <v>15</v>
      </c>
    </row>
    <row r="65" spans="2:4" x14ac:dyDescent="0.3">
      <c r="B65" s="91" t="s">
        <v>109</v>
      </c>
      <c r="C65" s="92">
        <v>22</v>
      </c>
      <c r="D65" s="93">
        <v>16</v>
      </c>
    </row>
    <row r="66" spans="2:4" x14ac:dyDescent="0.3">
      <c r="B66" s="91" t="s">
        <v>111</v>
      </c>
      <c r="C66" s="92">
        <v>18</v>
      </c>
      <c r="D66" s="93">
        <v>15</v>
      </c>
    </row>
    <row r="67" spans="2:4" ht="15" thickBot="1" x14ac:dyDescent="0.35">
      <c r="B67" s="94" t="s">
        <v>112</v>
      </c>
      <c r="C67" s="95">
        <v>17</v>
      </c>
      <c r="D67" s="96">
        <v>16</v>
      </c>
    </row>
  </sheetData>
  <sheetProtection algorithmName="SHA-512" hashValue="9VXRn4CmbvAqW6wrEg0uEqA/AkM7/jebtX7U3Spy5QF821o+hOnrnLfufgMwfRzxuNZMoLf0xXviU9Mgz99v8w==" saltValue="m3s6VtitUl44qi15+nRMMA==" spinCount="100000" sheet="1" objects="1" scenarios="1"/>
  <mergeCells count="12">
    <mergeCell ref="O19:O21"/>
    <mergeCell ref="P19:S19"/>
    <mergeCell ref="P20:S20"/>
    <mergeCell ref="B58:B59"/>
    <mergeCell ref="B57:D57"/>
    <mergeCell ref="C19:E19"/>
    <mergeCell ref="C52:E52"/>
    <mergeCell ref="C58:D58"/>
    <mergeCell ref="I19:M19"/>
    <mergeCell ref="I20:M20"/>
    <mergeCell ref="H19:H21"/>
    <mergeCell ref="G19:G21"/>
  </mergeCells>
  <phoneticPr fontId="17"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Deckblatt</vt:lpstr>
      <vt:lpstr>Berechnung</vt:lpstr>
      <vt:lpstr>Hilfe nFK</vt:lpstr>
    </vt:vector>
  </TitlesOfParts>
  <Company>Umweltbundesamt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Krahl, Ina</dc:creator>
  <cp:lastModifiedBy>Krahl, Ina</cp:lastModifiedBy>
  <dcterms:created xsi:type="dcterms:W3CDTF">2024-12-18T13:14:09Z</dcterms:created>
  <dcterms:modified xsi:type="dcterms:W3CDTF">2025-12-18T08:39:06Z</dcterms:modified>
</cp:coreProperties>
</file>